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1580" windowHeight="1209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X14" i="1" l="1"/>
  <c r="Y14" i="1"/>
  <c r="Q24" i="1" l="1"/>
  <c r="Q30" i="1"/>
  <c r="Y7" i="1"/>
  <c r="X7" i="1"/>
  <c r="T7" i="1"/>
  <c r="R7" i="1"/>
  <c r="X10" i="1"/>
  <c r="Y10" i="1" l="1"/>
  <c r="G9" i="1"/>
  <c r="J9" i="1" s="1"/>
  <c r="I9" i="1" l="1"/>
  <c r="K9" i="1" s="1"/>
  <c r="L9" i="1" s="1"/>
  <c r="Y9" i="1" l="1"/>
  <c r="X8" i="1"/>
  <c r="K41" i="1" l="1"/>
  <c r="Y20" i="1" l="1"/>
  <c r="Y18" i="1"/>
  <c r="X6" i="1"/>
  <c r="U6" i="1"/>
  <c r="Y6" i="1" l="1"/>
  <c r="G30" i="1"/>
  <c r="J30" i="1" s="1"/>
  <c r="G29" i="1"/>
  <c r="J29" i="1" s="1"/>
  <c r="G28" i="1"/>
  <c r="J28" i="1" s="1"/>
  <c r="G27" i="1"/>
  <c r="J27" i="1" s="1"/>
  <c r="G16" i="1"/>
  <c r="J16" i="1" s="1"/>
  <c r="G15" i="1"/>
  <c r="G14" i="1"/>
  <c r="G13" i="1"/>
  <c r="I13" i="1" s="1"/>
  <c r="G12" i="1"/>
  <c r="J12" i="1" s="1"/>
  <c r="G11" i="1"/>
  <c r="J11" i="1" s="1"/>
  <c r="G10" i="1"/>
  <c r="J10" i="1" s="1"/>
  <c r="G8" i="1"/>
  <c r="I8" i="1" s="1"/>
  <c r="G7" i="1"/>
  <c r="I7" i="1" s="1"/>
  <c r="G6" i="1"/>
  <c r="I12" i="1" l="1"/>
  <c r="I30" i="1"/>
  <c r="K30" i="1" s="1"/>
  <c r="I10" i="1"/>
  <c r="I28" i="1"/>
  <c r="K28" i="1" s="1"/>
  <c r="I27" i="1"/>
  <c r="I29" i="1"/>
  <c r="K29" i="1" s="1"/>
  <c r="J8" i="1"/>
  <c r="J40" i="1" s="1"/>
  <c r="I6" i="1"/>
  <c r="J6" i="1"/>
  <c r="J38" i="1" s="1"/>
  <c r="I16" i="1"/>
  <c r="J13" i="1"/>
  <c r="J45" i="1" s="1"/>
  <c r="I11" i="1"/>
  <c r="J7" i="1"/>
  <c r="J39" i="1" s="1"/>
  <c r="J41" i="1"/>
  <c r="J44" i="1"/>
  <c r="J43" i="1"/>
  <c r="J48" i="1"/>
  <c r="J47" i="1"/>
  <c r="J46" i="1"/>
  <c r="J42" i="1"/>
  <c r="I17" i="1" l="1"/>
  <c r="K27" i="1"/>
  <c r="L27" i="1" s="1"/>
  <c r="Y47" i="1"/>
  <c r="Y46" i="1"/>
  <c r="J58" i="1"/>
  <c r="J57" i="1"/>
  <c r="J56" i="1"/>
  <c r="J55" i="1"/>
  <c r="I55" i="1" l="1"/>
  <c r="I56" i="1"/>
  <c r="K56" i="1" s="1"/>
  <c r="I57" i="1"/>
  <c r="K57" i="1" s="1"/>
  <c r="I58" i="1"/>
  <c r="K58" i="1" s="1"/>
  <c r="K47" i="1"/>
  <c r="K46" i="1"/>
  <c r="K13" i="1"/>
  <c r="K45" i="1" s="1"/>
  <c r="K12" i="1"/>
  <c r="K44" i="1" s="1"/>
  <c r="K11" i="1"/>
  <c r="K43" i="1" s="1"/>
  <c r="K6" i="1" l="1"/>
  <c r="K38" i="1" s="1"/>
  <c r="K10" i="1"/>
  <c r="K42" i="1" s="1"/>
  <c r="K7" i="1"/>
  <c r="K39" i="1" s="1"/>
  <c r="K8" i="1"/>
  <c r="K40" i="1" s="1"/>
  <c r="K16" i="1"/>
  <c r="K48" i="1" s="1"/>
  <c r="K55" i="1"/>
  <c r="L38" i="1" l="1"/>
  <c r="K17" i="1"/>
  <c r="L8" i="1"/>
  <c r="L40" i="1"/>
  <c r="L7" i="1"/>
  <c r="L39" i="1"/>
  <c r="L41" i="1"/>
  <c r="L10" i="1"/>
  <c r="L42" i="1"/>
  <c r="L16" i="1"/>
  <c r="L48" i="1"/>
  <c r="L6" i="1"/>
  <c r="R6" i="1"/>
  <c r="Q14" i="1"/>
  <c r="R13" i="1" l="1"/>
  <c r="T13" i="1" s="1"/>
  <c r="Y8" i="1" l="1"/>
  <c r="R56" i="1"/>
  <c r="R42" i="1"/>
  <c r="R41" i="1"/>
  <c r="T41" i="1" s="1"/>
  <c r="U37" i="1"/>
  <c r="Q32" i="1"/>
  <c r="V32" i="1" s="1"/>
  <c r="R24" i="1"/>
  <c r="R12" i="1"/>
  <c r="T12" i="1" s="1"/>
  <c r="R11" i="1"/>
  <c r="T11" i="1" s="1"/>
  <c r="X11" i="1" s="1"/>
  <c r="R10" i="1"/>
  <c r="R9" i="1"/>
  <c r="U2" i="1"/>
  <c r="S33" i="1" l="1"/>
  <c r="X41" i="1"/>
  <c r="Y41" i="1" s="1"/>
  <c r="Q56" i="1" s="1"/>
  <c r="V56" i="1" s="1"/>
  <c r="T9" i="1"/>
  <c r="R14" i="1"/>
  <c r="Y11" i="1"/>
  <c r="R33" i="1" s="1"/>
  <c r="X21" i="1"/>
  <c r="X32" i="1"/>
  <c r="W32" i="1"/>
  <c r="Q57" i="1"/>
  <c r="V57" i="1" s="1"/>
  <c r="T72" i="1" s="1"/>
  <c r="Q52" i="1"/>
  <c r="V52" i="1" s="1"/>
  <c r="R51" i="1"/>
  <c r="R30" i="1"/>
  <c r="Y48" i="1"/>
  <c r="Q26" i="1"/>
  <c r="V26" i="1" s="1"/>
  <c r="Q51" i="1" l="1"/>
  <c r="V51" i="1" s="1"/>
  <c r="V53" i="1" s="1"/>
  <c r="U9" i="1"/>
  <c r="T66" i="1"/>
  <c r="V58" i="1"/>
  <c r="W57" i="1"/>
  <c r="U72" i="1" s="1"/>
  <c r="X57" i="1"/>
  <c r="W72" i="1" s="1"/>
  <c r="W56" i="1"/>
  <c r="X56" i="1"/>
  <c r="V31" i="1" l="1"/>
  <c r="T71" i="1" s="1"/>
  <c r="V25" i="1"/>
  <c r="T65" i="1" s="1"/>
  <c r="V30" i="1"/>
  <c r="T70" i="1" s="1"/>
  <c r="W58" i="1"/>
  <c r="Y21" i="1"/>
  <c r="X58" i="1"/>
  <c r="Q33" i="1"/>
  <c r="U79" i="1"/>
  <c r="W79" i="1"/>
  <c r="W31" i="1" l="1"/>
  <c r="U71" i="1" s="1"/>
  <c r="X31" i="1"/>
  <c r="W71" i="1" s="1"/>
  <c r="W78" i="1" s="1"/>
  <c r="V24" i="1"/>
  <c r="T64" i="1" s="1"/>
  <c r="X30" i="1"/>
  <c r="W70" i="1" s="1"/>
  <c r="W77" i="1" s="1"/>
  <c r="W30" i="1"/>
  <c r="U70" i="1" s="1"/>
  <c r="U78" i="1" l="1"/>
  <c r="V27" i="1"/>
  <c r="T67" i="1" s="1"/>
  <c r="U77" i="1"/>
  <c r="V33" i="1"/>
  <c r="T73" i="1" l="1"/>
  <c r="T74" i="1" s="1"/>
  <c r="X33" i="1"/>
  <c r="W73" i="1" s="1"/>
  <c r="W74" i="1" s="1"/>
  <c r="W33" i="1"/>
  <c r="U73" i="1" s="1"/>
  <c r="U74" i="1" s="1"/>
  <c r="V34" i="1"/>
  <c r="W80" i="1" l="1"/>
  <c r="W81" i="1" s="1"/>
  <c r="U80" i="1"/>
  <c r="U81" i="1" s="1"/>
  <c r="W34" i="1"/>
  <c r="X34" i="1"/>
</calcChain>
</file>

<file path=xl/sharedStrings.xml><?xml version="1.0" encoding="utf-8"?>
<sst xmlns="http://schemas.openxmlformats.org/spreadsheetml/2006/main" count="242" uniqueCount="92">
  <si>
    <t>omschrijving</t>
  </si>
  <si>
    <t>aantal</t>
  </si>
  <si>
    <t>vermogen</t>
  </si>
  <si>
    <t>stage</t>
  </si>
  <si>
    <t>in kW</t>
  </si>
  <si>
    <t>klasse</t>
  </si>
  <si>
    <t>aggregaat</t>
  </si>
  <si>
    <t>verreiker</t>
  </si>
  <si>
    <t>gator</t>
  </si>
  <si>
    <t>heftruck</t>
  </si>
  <si>
    <t>telesc. hoogwerker</t>
  </si>
  <si>
    <t>scooter</t>
  </si>
  <si>
    <t>quad</t>
  </si>
  <si>
    <t>trekker</t>
  </si>
  <si>
    <t>totaal</t>
  </si>
  <si>
    <t>evenementen</t>
  </si>
  <si>
    <t>Bezoekers</t>
  </si>
  <si>
    <t xml:space="preserve"> /dag</t>
  </si>
  <si>
    <t>dagen</t>
  </si>
  <si>
    <t>Camper</t>
  </si>
  <si>
    <t>verdeling</t>
  </si>
  <si>
    <t>bezoekers</t>
  </si>
  <si>
    <t>aant.per</t>
  </si>
  <si>
    <t>park.cap.</t>
  </si>
  <si>
    <t>per dag</t>
  </si>
  <si>
    <t>vervoerswijze</t>
  </si>
  <si>
    <t>vervoerwijze</t>
  </si>
  <si>
    <t>voertuigen</t>
  </si>
  <si>
    <t>terrein</t>
  </si>
  <si>
    <t>ritten/</t>
  </si>
  <si>
    <t>evenement</t>
  </si>
  <si>
    <t>auto</t>
  </si>
  <si>
    <t>middelzwaar</t>
  </si>
  <si>
    <t>zwaar</t>
  </si>
  <si>
    <t>ritten alle</t>
  </si>
  <si>
    <t>verkeer op terrein</t>
  </si>
  <si>
    <t>verkeer N355</t>
  </si>
  <si>
    <t>bus</t>
  </si>
  <si>
    <t>verkeer N361/N355</t>
  </si>
  <si>
    <t>N361</t>
  </si>
  <si>
    <t>N355</t>
  </si>
  <si>
    <t>beide ri.</t>
  </si>
  <si>
    <t>verkeer naar N355</t>
  </si>
  <si>
    <t>auto (op- en afbouw - 200 ritten per evenementsdag - valt buiten evenementsperiode)</t>
  </si>
  <si>
    <t>zwaar (op- en afbouw - 120 ritten per evenementsdag - valt buiten evenementsperiode)</t>
  </si>
  <si>
    <t>auto (op- en afbouw - 40 ritten per evenementsdag - valt buiten evenementsperiode)</t>
  </si>
  <si>
    <t>Bezoekers overige  evenementen</t>
  </si>
  <si>
    <t>ritten alle overige</t>
  </si>
  <si>
    <t xml:space="preserve"> evenementen</t>
  </si>
  <si>
    <t>Overig (o.a. opbouw/afbraak en personeel)</t>
  </si>
  <si>
    <t>bezoekers/jaar</t>
  </si>
  <si>
    <t>100% file</t>
  </si>
  <si>
    <t>ri Leeuw.</t>
  </si>
  <si>
    <t>beide ri</t>
  </si>
  <si>
    <t>ri Tytsj.</t>
  </si>
  <si>
    <t>Georganiseerd busvervoer (touringcar)</t>
  </si>
  <si>
    <t>Fietsers</t>
  </si>
  <si>
    <t>Te voet</t>
  </si>
  <si>
    <t>OV/ trein + bus vanaf NS station</t>
  </si>
  <si>
    <t>Auto - pendelbus vanaf extern terrein</t>
  </si>
  <si>
    <t>Auto naar terrein (inclusief taxi &amp; K+R)</t>
  </si>
  <si>
    <t>fietsers/voetgangers</t>
  </si>
  <si>
    <t>liter/</t>
  </si>
  <si>
    <t>uur</t>
  </si>
  <si>
    <t>liters/</t>
  </si>
  <si>
    <t>IV</t>
  </si>
  <si>
    <t>Adblue</t>
  </si>
  <si>
    <t>Mobiele werktuigen overig evenement (1 dag)</t>
  </si>
  <si>
    <t>uren /5</t>
  </si>
  <si>
    <t>liters/5</t>
  </si>
  <si>
    <t>uren /7</t>
  </si>
  <si>
    <t>liters/7</t>
  </si>
  <si>
    <t>Mobiele werktuigen klein en groot totaal</t>
  </si>
  <si>
    <t>uren /12</t>
  </si>
  <si>
    <t>liters/12</t>
  </si>
  <si>
    <t>III</t>
  </si>
  <si>
    <t xml:space="preserve">Mobiele werktuigen muziekevenement groot ruimtegebruik (1 dag) worst case </t>
  </si>
  <si>
    <t xml:space="preserve">Mobiele werktuigen muziekevenement klein ruimtegebruik (1dag) worst case </t>
  </si>
  <si>
    <t>werktuig</t>
  </si>
  <si>
    <t>uren per</t>
  </si>
  <si>
    <t>uren/</t>
  </si>
  <si>
    <t>Bezoekers muziek evenementen</t>
  </si>
  <si>
    <t>muziek evenementen</t>
  </si>
  <si>
    <t>Verkeer totaal muziek en overige evenementen</t>
  </si>
  <si>
    <t>evenementdag</t>
  </si>
  <si>
    <t>ritten/evenementdag</t>
  </si>
  <si>
    <t>Totaal aantal ritten</t>
  </si>
  <si>
    <t>Auto naar extern terrein</t>
  </si>
  <si>
    <t>zwaar (op- en afbouw - 2 ritten per evenementsdag - valt buiten evenementsperiode)</t>
  </si>
  <si>
    <t>Elektrisch</t>
  </si>
  <si>
    <t>uren /10</t>
  </si>
  <si>
    <t>liters/10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</si>
</sst>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7.5"/>
      <color theme="1"/>
      <name val="Open Sans"/>
      <family val="2"/>
    </font>
    <font>
      <b/>
      <sz val="7.5"/>
      <color theme="1"/>
      <name val="Open Sans"/>
      <family val="2"/>
    </font>
    <font>
      <b/>
      <sz val="7.5"/>
      <name val="Open Sans"/>
      <family val="2"/>
    </font>
    <font>
      <sz val="7.5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0" xfId="0" applyFont="1" applyFill="1" applyBorder="1"/>
    <xf numFmtId="0" fontId="1" fillId="3" borderId="0" xfId="0" applyFont="1" applyFill="1" applyBorder="1"/>
    <xf numFmtId="0" fontId="1" fillId="0" borderId="17" xfId="0" applyFont="1" applyBorder="1"/>
    <xf numFmtId="0" fontId="1" fillId="0" borderId="16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6" xfId="0" applyFont="1" applyFill="1" applyBorder="1"/>
    <xf numFmtId="0" fontId="1" fillId="6" borderId="7" xfId="0" applyFont="1" applyFill="1" applyBorder="1"/>
    <xf numFmtId="0" fontId="1" fillId="6" borderId="8" xfId="0" applyFont="1" applyFill="1" applyBorder="1"/>
    <xf numFmtId="0" fontId="1" fillId="6" borderId="0" xfId="0" applyFont="1" applyFill="1" applyBorder="1"/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right"/>
    </xf>
    <xf numFmtId="0" fontId="1" fillId="6" borderId="7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right"/>
    </xf>
    <xf numFmtId="0" fontId="1" fillId="6" borderId="4" xfId="0" applyFont="1" applyFill="1" applyBorder="1"/>
    <xf numFmtId="0" fontId="1" fillId="6" borderId="0" xfId="0" applyFont="1" applyFill="1" applyBorder="1" applyAlignment="1">
      <alignment horizontal="center"/>
    </xf>
    <xf numFmtId="164" fontId="1" fillId="6" borderId="5" xfId="0" applyNumberFormat="1" applyFont="1" applyFill="1" applyBorder="1"/>
    <xf numFmtId="0" fontId="1" fillId="6" borderId="9" xfId="0" applyFont="1" applyFill="1" applyBorder="1"/>
    <xf numFmtId="0" fontId="1" fillId="6" borderId="10" xfId="0" applyFont="1" applyFill="1" applyBorder="1"/>
    <xf numFmtId="9" fontId="1" fillId="6" borderId="10" xfId="0" applyNumberFormat="1" applyFont="1" applyFill="1" applyBorder="1"/>
    <xf numFmtId="0" fontId="1" fillId="6" borderId="10" xfId="0" applyFont="1" applyFill="1" applyBorder="1" applyAlignment="1">
      <alignment horizontal="center"/>
    </xf>
    <xf numFmtId="164" fontId="1" fillId="6" borderId="11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166" fontId="1" fillId="0" borderId="15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right"/>
    </xf>
    <xf numFmtId="166" fontId="1" fillId="0" borderId="0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1" fontId="1" fillId="0" borderId="16" xfId="0" applyNumberFormat="1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1" fontId="1" fillId="0" borderId="17" xfId="0" applyNumberFormat="1" applyFont="1" applyBorder="1"/>
    <xf numFmtId="0" fontId="1" fillId="0" borderId="16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5" xfId="0" applyFont="1" applyFill="1" applyBorder="1"/>
    <xf numFmtId="0" fontId="1" fillId="0" borderId="17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9" fontId="1" fillId="0" borderId="17" xfId="0" applyNumberFormat="1" applyFont="1" applyBorder="1"/>
    <xf numFmtId="0" fontId="1" fillId="4" borderId="18" xfId="0" applyFont="1" applyFill="1" applyBorder="1"/>
    <xf numFmtId="0" fontId="1" fillId="4" borderId="25" xfId="0" applyFont="1" applyFill="1" applyBorder="1"/>
    <xf numFmtId="0" fontId="1" fillId="5" borderId="26" xfId="0" applyFont="1" applyFill="1" applyBorder="1"/>
    <xf numFmtId="0" fontId="1" fillId="4" borderId="21" xfId="0" applyFont="1" applyFill="1" applyBorder="1"/>
    <xf numFmtId="0" fontId="2" fillId="0" borderId="19" xfId="0" applyFont="1" applyBorder="1"/>
    <xf numFmtId="0" fontId="2" fillId="0" borderId="15" xfId="0" applyFont="1" applyBorder="1"/>
    <xf numFmtId="0" fontId="1" fillId="0" borderId="27" xfId="0" applyFont="1" applyBorder="1"/>
    <xf numFmtId="0" fontId="1" fillId="3" borderId="29" xfId="0" applyFont="1" applyFill="1" applyBorder="1"/>
    <xf numFmtId="0" fontId="1" fillId="5" borderId="29" xfId="0" applyFont="1" applyFill="1" applyBorder="1"/>
    <xf numFmtId="0" fontId="1" fillId="0" borderId="26" xfId="0" applyFont="1" applyBorder="1"/>
    <xf numFmtId="0" fontId="1" fillId="0" borderId="25" xfId="0" applyFont="1" applyFill="1" applyBorder="1" applyAlignment="1">
      <alignment horizontal="right"/>
    </xf>
    <xf numFmtId="0" fontId="1" fillId="0" borderId="29" xfId="0" applyFont="1" applyFill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7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4" borderId="29" xfId="0" applyFont="1" applyFill="1" applyBorder="1"/>
    <xf numFmtId="0" fontId="1" fillId="2" borderId="29" xfId="0" applyFont="1" applyFill="1" applyBorder="1"/>
    <xf numFmtId="1" fontId="1" fillId="4" borderId="29" xfId="0" applyNumberFormat="1" applyFont="1" applyFill="1" applyBorder="1" applyAlignment="1">
      <alignment horizontal="right"/>
    </xf>
    <xf numFmtId="1" fontId="1" fillId="3" borderId="29" xfId="0" applyNumberFormat="1" applyFont="1" applyFill="1" applyBorder="1" applyAlignment="1">
      <alignment horizontal="right"/>
    </xf>
    <xf numFmtId="1" fontId="1" fillId="5" borderId="29" xfId="0" applyNumberFormat="1" applyFont="1" applyFill="1" applyBorder="1" applyAlignment="1">
      <alignment horizontal="right"/>
    </xf>
    <xf numFmtId="1" fontId="1" fillId="2" borderId="29" xfId="0" applyNumberFormat="1" applyFont="1" applyFill="1" applyBorder="1" applyAlignment="1">
      <alignment horizontal="right"/>
    </xf>
    <xf numFmtId="1" fontId="1" fillId="0" borderId="18" xfId="0" applyNumberFormat="1" applyFont="1" applyBorder="1" applyAlignment="1">
      <alignment horizontal="right"/>
    </xf>
    <xf numFmtId="0" fontId="1" fillId="0" borderId="18" xfId="0" applyFont="1" applyBorder="1"/>
    <xf numFmtId="0" fontId="1" fillId="0" borderId="1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2" fillId="0" borderId="27" xfId="0" applyFont="1" applyBorder="1"/>
    <xf numFmtId="0" fontId="1" fillId="0" borderId="28" xfId="0" applyFont="1" applyBorder="1"/>
    <xf numFmtId="0" fontId="1" fillId="0" borderId="26" xfId="0" applyFont="1" applyBorder="1" applyAlignment="1">
      <alignment horizontal="right"/>
    </xf>
    <xf numFmtId="0" fontId="1" fillId="4" borderId="25" xfId="0" applyFont="1" applyFill="1" applyBorder="1" applyAlignment="1">
      <alignment horizontal="right"/>
    </xf>
    <xf numFmtId="0" fontId="1" fillId="2" borderId="29" xfId="0" applyFont="1" applyFill="1" applyBorder="1" applyAlignment="1">
      <alignment horizontal="right"/>
    </xf>
    <xf numFmtId="0" fontId="1" fillId="4" borderId="29" xfId="0" applyFont="1" applyFill="1" applyBorder="1" applyAlignment="1">
      <alignment horizontal="right"/>
    </xf>
    <xf numFmtId="0" fontId="1" fillId="5" borderId="26" xfId="0" applyFont="1" applyFill="1" applyBorder="1" applyAlignment="1">
      <alignment horizontal="right"/>
    </xf>
    <xf numFmtId="0" fontId="1" fillId="2" borderId="26" xfId="0" applyFont="1" applyFill="1" applyBorder="1"/>
    <xf numFmtId="0" fontId="1" fillId="0" borderId="26" xfId="0" applyFont="1" applyFill="1" applyBorder="1"/>
    <xf numFmtId="0" fontId="1" fillId="0" borderId="27" xfId="0" applyFont="1" applyFill="1" applyBorder="1"/>
    <xf numFmtId="0" fontId="1" fillId="0" borderId="18" xfId="0" applyFont="1" applyFill="1" applyBorder="1"/>
    <xf numFmtId="0" fontId="1" fillId="0" borderId="28" xfId="0" applyFont="1" applyFill="1" applyBorder="1"/>
    <xf numFmtId="0" fontId="1" fillId="0" borderId="29" xfId="0" applyFont="1" applyBorder="1"/>
    <xf numFmtId="0" fontId="1" fillId="0" borderId="25" xfId="0" applyFont="1" applyBorder="1"/>
    <xf numFmtId="9" fontId="1" fillId="0" borderId="16" xfId="0" applyNumberFormat="1" applyFont="1" applyBorder="1"/>
    <xf numFmtId="0" fontId="1" fillId="0" borderId="29" xfId="0" applyFont="1" applyBorder="1" applyAlignment="1">
      <alignment horizontal="right"/>
    </xf>
    <xf numFmtId="0" fontId="2" fillId="0" borderId="23" xfId="0" applyFont="1" applyBorder="1"/>
    <xf numFmtId="0" fontId="1" fillId="0" borderId="23" xfId="0" applyFont="1" applyBorder="1" applyAlignment="1">
      <alignment horizontal="right"/>
    </xf>
    <xf numFmtId="0" fontId="3" fillId="0" borderId="24" xfId="0" applyFont="1" applyFill="1" applyBorder="1" applyAlignment="1">
      <alignment horizontal="right"/>
    </xf>
    <xf numFmtId="1" fontId="1" fillId="0" borderId="25" xfId="0" applyNumberFormat="1" applyFont="1" applyBorder="1" applyAlignment="1">
      <alignment horizontal="right"/>
    </xf>
    <xf numFmtId="1" fontId="1" fillId="0" borderId="25" xfId="0" applyNumberFormat="1" applyFont="1" applyFill="1" applyBorder="1" applyAlignment="1">
      <alignment horizontal="right"/>
    </xf>
    <xf numFmtId="0" fontId="1" fillId="0" borderId="26" xfId="0" applyFont="1" applyFill="1" applyBorder="1" applyAlignment="1">
      <alignment horizontal="right"/>
    </xf>
    <xf numFmtId="2" fontId="1" fillId="6" borderId="10" xfId="0" applyNumberFormat="1" applyFont="1" applyFill="1" applyBorder="1"/>
    <xf numFmtId="164" fontId="1" fillId="0" borderId="15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0" fontId="1" fillId="0" borderId="0" xfId="0" applyNumberFormat="1" applyFont="1" applyBorder="1"/>
    <xf numFmtId="1" fontId="1" fillId="0" borderId="0" xfId="0" applyNumberFormat="1" applyFont="1" applyBorder="1"/>
    <xf numFmtId="164" fontId="1" fillId="0" borderId="0" xfId="0" applyNumberFormat="1" applyFont="1" applyBorder="1"/>
    <xf numFmtId="10" fontId="1" fillId="0" borderId="15" xfId="0" applyNumberFormat="1" applyFont="1" applyBorder="1" applyAlignment="1">
      <alignment horizontal="right" vertical="center"/>
    </xf>
    <xf numFmtId="0" fontId="1" fillId="0" borderId="24" xfId="0" applyFont="1" applyBorder="1" applyAlignment="1">
      <alignment horizontal="right"/>
    </xf>
    <xf numFmtId="166" fontId="1" fillId="0" borderId="17" xfId="0" applyNumberFormat="1" applyFont="1" applyBorder="1"/>
    <xf numFmtId="164" fontId="1" fillId="0" borderId="17" xfId="0" applyNumberFormat="1" applyFont="1" applyBorder="1" applyAlignment="1">
      <alignment horizontal="right"/>
    </xf>
    <xf numFmtId="0" fontId="1" fillId="4" borderId="15" xfId="0" applyFont="1" applyFill="1" applyBorder="1"/>
    <xf numFmtId="0" fontId="1" fillId="5" borderId="16" xfId="0" applyFont="1" applyFill="1" applyBorder="1"/>
    <xf numFmtId="0" fontId="1" fillId="5" borderId="0" xfId="0" applyFont="1" applyFill="1" applyBorder="1"/>
    <xf numFmtId="0" fontId="1" fillId="2" borderId="16" xfId="0" applyFont="1" applyFill="1" applyBorder="1"/>
    <xf numFmtId="0" fontId="2" fillId="0" borderId="15" xfId="0" applyFont="1" applyBorder="1" applyAlignment="1">
      <alignment horizontal="left"/>
    </xf>
    <xf numFmtId="2" fontId="1" fillId="6" borderId="0" xfId="0" applyNumberFormat="1" applyFont="1" applyFill="1" applyBorder="1"/>
    <xf numFmtId="2" fontId="1" fillId="6" borderId="7" xfId="0" applyNumberFormat="1" applyFont="1" applyFill="1" applyBorder="1"/>
    <xf numFmtId="1" fontId="1" fillId="6" borderId="10" xfId="0" applyNumberFormat="1" applyFont="1" applyFill="1" applyBorder="1"/>
    <xf numFmtId="2" fontId="1" fillId="6" borderId="2" xfId="0" applyNumberFormat="1" applyFont="1" applyFill="1" applyBorder="1"/>
    <xf numFmtId="1" fontId="1" fillId="6" borderId="2" xfId="0" applyNumberFormat="1" applyFont="1" applyFill="1" applyBorder="1"/>
    <xf numFmtId="1" fontId="1" fillId="6" borderId="0" xfId="0" applyNumberFormat="1" applyFont="1" applyFill="1" applyBorder="1"/>
    <xf numFmtId="1" fontId="1" fillId="6" borderId="11" xfId="0" applyNumberFormat="1" applyFont="1" applyFill="1" applyBorder="1"/>
    <xf numFmtId="1" fontId="1" fillId="6" borderId="3" xfId="0" applyNumberFormat="1" applyFont="1" applyFill="1" applyBorder="1"/>
    <xf numFmtId="1" fontId="1" fillId="6" borderId="5" xfId="0" applyNumberFormat="1" applyFont="1" applyFill="1" applyBorder="1"/>
    <xf numFmtId="1" fontId="1" fillId="6" borderId="7" xfId="0" applyNumberFormat="1" applyFont="1" applyFill="1" applyBorder="1"/>
    <xf numFmtId="1" fontId="1" fillId="6" borderId="8" xfId="0" applyNumberFormat="1" applyFont="1" applyFill="1" applyBorder="1"/>
    <xf numFmtId="0" fontId="1" fillId="6" borderId="14" xfId="0" applyFont="1" applyFill="1" applyBorder="1"/>
    <xf numFmtId="1" fontId="1" fillId="6" borderId="0" xfId="0" applyNumberFormat="1" applyFont="1" applyFill="1" applyBorder="1" applyAlignment="1">
      <alignment horizontal="center"/>
    </xf>
    <xf numFmtId="0" fontId="1" fillId="6" borderId="12" xfId="0" applyFont="1" applyFill="1" applyBorder="1"/>
    <xf numFmtId="1" fontId="1" fillId="6" borderId="4" xfId="0" applyNumberFormat="1" applyFont="1" applyFill="1" applyBorder="1" applyAlignment="1">
      <alignment horizontal="right"/>
    </xf>
    <xf numFmtId="2" fontId="1" fillId="6" borderId="9" xfId="0" applyNumberFormat="1" applyFont="1" applyFill="1" applyBorder="1" applyAlignment="1">
      <alignment horizontal="right"/>
    </xf>
    <xf numFmtId="2" fontId="1" fillId="0" borderId="0" xfId="0" applyNumberFormat="1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0" fontId="1" fillId="5" borderId="21" xfId="0" applyFont="1" applyFill="1" applyBorder="1"/>
    <xf numFmtId="164" fontId="1" fillId="6" borderId="3" xfId="0" applyNumberFormat="1" applyFont="1" applyFill="1" applyBorder="1"/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Fill="1" applyBorder="1"/>
    <xf numFmtId="0" fontId="2" fillId="0" borderId="29" xfId="0" applyFont="1" applyFill="1" applyBorder="1" applyAlignment="1">
      <alignment horizontal="right"/>
    </xf>
    <xf numFmtId="0" fontId="2" fillId="0" borderId="25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right"/>
    </xf>
    <xf numFmtId="0" fontId="3" fillId="0" borderId="18" xfId="0" applyFont="1" applyFill="1" applyBorder="1"/>
    <xf numFmtId="0" fontId="2" fillId="6" borderId="9" xfId="0" applyFont="1" applyFill="1" applyBorder="1"/>
    <xf numFmtId="164" fontId="1" fillId="6" borderId="8" xfId="0" applyNumberFormat="1" applyFont="1" applyFill="1" applyBorder="1"/>
    <xf numFmtId="0" fontId="4" fillId="6" borderId="4" xfId="0" applyFont="1" applyFill="1" applyBorder="1"/>
    <xf numFmtId="0" fontId="4" fillId="6" borderId="0" xfId="0" applyFont="1" applyFill="1" applyBorder="1"/>
    <xf numFmtId="0" fontId="4" fillId="6" borderId="0" xfId="0" applyFont="1" applyFill="1" applyBorder="1" applyAlignment="1">
      <alignment horizontal="center"/>
    </xf>
    <xf numFmtId="2" fontId="4" fillId="6" borderId="0" xfId="0" applyNumberFormat="1" applyFont="1" applyFill="1" applyBorder="1"/>
    <xf numFmtId="1" fontId="4" fillId="6" borderId="5" xfId="0" applyNumberFormat="1" applyFont="1" applyFill="1" applyBorder="1"/>
    <xf numFmtId="164" fontId="4" fillId="6" borderId="5" xfId="0" applyNumberFormat="1" applyFont="1" applyFill="1" applyBorder="1"/>
    <xf numFmtId="164" fontId="1" fillId="6" borderId="13" xfId="0" applyNumberFormat="1" applyFont="1" applyFill="1" applyBorder="1"/>
    <xf numFmtId="0" fontId="1" fillId="6" borderId="13" xfId="0" applyFont="1" applyFill="1" applyBorder="1"/>
    <xf numFmtId="165" fontId="1" fillId="0" borderId="5" xfId="0" applyNumberFormat="1" applyFont="1" applyFill="1" applyBorder="1"/>
    <xf numFmtId="0" fontId="1" fillId="0" borderId="5" xfId="0" applyFont="1" applyFill="1" applyBorder="1"/>
    <xf numFmtId="165" fontId="1" fillId="0" borderId="5" xfId="0" applyNumberFormat="1" applyFont="1" applyBorder="1"/>
    <xf numFmtId="1" fontId="1" fillId="6" borderId="22" xfId="0" applyNumberFormat="1" applyFont="1" applyFill="1" applyBorder="1"/>
    <xf numFmtId="164" fontId="1" fillId="6" borderId="10" xfId="0" applyNumberFormat="1" applyFont="1" applyFill="1" applyBorder="1" applyAlignment="1">
      <alignment horizontal="right"/>
    </xf>
    <xf numFmtId="1" fontId="1" fillId="0" borderId="21" xfId="0" applyNumberFormat="1" applyFont="1" applyFill="1" applyBorder="1"/>
    <xf numFmtId="1" fontId="1" fillId="0" borderId="15" xfId="0" applyNumberFormat="1" applyFont="1" applyFill="1" applyBorder="1" applyAlignment="1">
      <alignment horizontal="right"/>
    </xf>
    <xf numFmtId="9" fontId="1" fillId="0" borderId="0" xfId="0" applyNumberFormat="1" applyFont="1" applyFill="1" applyBorder="1"/>
    <xf numFmtId="164" fontId="1" fillId="0" borderId="5" xfId="0" applyNumberFormat="1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2" borderId="29" xfId="0" applyFont="1" applyFill="1" applyBorder="1" applyAlignment="1">
      <alignment horizontal="right"/>
    </xf>
    <xf numFmtId="164" fontId="1" fillId="0" borderId="28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4" borderId="0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4"/>
  <sheetViews>
    <sheetView showGridLines="0" tabSelected="1" zoomScaleNormal="100" workbookViewId="0">
      <selection activeCell="AD66" sqref="AD66"/>
    </sheetView>
  </sheetViews>
  <sheetFormatPr defaultRowHeight="9.75" customHeight="1" x14ac:dyDescent="0.15"/>
  <cols>
    <col min="1" max="1" width="1.7109375" style="1" customWidth="1"/>
    <col min="2" max="2" width="14.28515625" style="1" customWidth="1"/>
    <col min="3" max="5" width="7.42578125" style="1" customWidth="1"/>
    <col min="6" max="7" width="8.42578125" style="1" customWidth="1"/>
    <col min="8" max="8" width="5" style="1" customWidth="1"/>
    <col min="9" max="9" width="8.28515625" style="1" customWidth="1"/>
    <col min="10" max="10" width="10.140625" style="1" customWidth="1"/>
    <col min="11" max="11" width="10.28515625" style="1" customWidth="1"/>
    <col min="12" max="13" width="5.140625" style="1" customWidth="1"/>
    <col min="14" max="14" width="7.85546875" style="1" customWidth="1"/>
    <col min="15" max="15" width="1.7109375" style="1" customWidth="1"/>
    <col min="16" max="16" width="26.85546875" style="1" customWidth="1"/>
    <col min="17" max="17" width="9.7109375" style="1" bestFit="1" customWidth="1"/>
    <col min="18" max="18" width="7.85546875" style="1" bestFit="1" customWidth="1"/>
    <col min="19" max="19" width="9" style="1" bestFit="1" customWidth="1"/>
    <col min="20" max="20" width="8" style="1" bestFit="1" customWidth="1"/>
    <col min="21" max="21" width="7.28515625" style="1" bestFit="1" customWidth="1"/>
    <col min="22" max="22" width="7.140625" style="1" customWidth="1"/>
    <col min="23" max="23" width="6.5703125" style="1" customWidth="1"/>
    <col min="24" max="24" width="11.42578125" style="1" customWidth="1"/>
    <col min="25" max="25" width="14.42578125" style="1" customWidth="1"/>
    <col min="26" max="26" width="2" style="1" customWidth="1"/>
    <col min="27" max="16384" width="9.140625" style="1"/>
  </cols>
  <sheetData>
    <row r="1" spans="1:28" ht="9.75" customHeight="1" thickBo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4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45"/>
    </row>
    <row r="2" spans="1:28" ht="9.75" customHeight="1" x14ac:dyDescent="0.15">
      <c r="A2" s="7"/>
      <c r="B2" s="15" t="s">
        <v>76</v>
      </c>
      <c r="C2" s="16"/>
      <c r="D2" s="16"/>
      <c r="E2" s="16"/>
      <c r="F2" s="17"/>
      <c r="G2" s="17"/>
      <c r="H2" s="17"/>
      <c r="I2" s="17"/>
      <c r="J2" s="17"/>
      <c r="K2" s="18"/>
      <c r="L2" s="161"/>
      <c r="M2" s="11"/>
      <c r="N2" s="163"/>
      <c r="O2" s="11"/>
      <c r="P2" s="61" t="s">
        <v>81</v>
      </c>
      <c r="Q2" s="62">
        <v>15000</v>
      </c>
      <c r="R2" s="62" t="s">
        <v>17</v>
      </c>
      <c r="S2" s="62">
        <v>12</v>
      </c>
      <c r="T2" s="62" t="s">
        <v>18</v>
      </c>
      <c r="U2" s="62">
        <f>+S2*Q2</f>
        <v>180000</v>
      </c>
      <c r="V2" s="62" t="s">
        <v>50</v>
      </c>
      <c r="W2" s="9"/>
      <c r="X2" s="9"/>
      <c r="Y2" s="51"/>
      <c r="Z2" s="146"/>
    </row>
    <row r="3" spans="1:28" ht="9.75" customHeight="1" thickBot="1" x14ac:dyDescent="0.2">
      <c r="A3" s="7"/>
      <c r="B3" s="19"/>
      <c r="C3" s="20"/>
      <c r="D3" s="20"/>
      <c r="E3" s="20"/>
      <c r="F3" s="20"/>
      <c r="G3" s="20"/>
      <c r="H3" s="20"/>
      <c r="I3" s="20"/>
      <c r="J3" s="20"/>
      <c r="K3" s="21"/>
      <c r="L3" s="132"/>
      <c r="M3" s="11"/>
      <c r="N3" s="163"/>
      <c r="O3" s="11"/>
      <c r="P3" s="52"/>
      <c r="Q3" s="8"/>
      <c r="R3" s="8"/>
      <c r="S3" s="8"/>
      <c r="T3" s="8"/>
      <c r="U3" s="8"/>
      <c r="V3" s="8"/>
      <c r="W3" s="8"/>
      <c r="X3" s="8"/>
      <c r="Y3" s="53"/>
      <c r="Z3" s="146"/>
    </row>
    <row r="4" spans="1:28" ht="9.75" customHeight="1" x14ac:dyDescent="0.15">
      <c r="A4" s="7"/>
      <c r="B4" s="23" t="s">
        <v>0</v>
      </c>
      <c r="C4" s="17" t="s">
        <v>1</v>
      </c>
      <c r="D4" s="17" t="s">
        <v>2</v>
      </c>
      <c r="E4" s="24" t="s">
        <v>3</v>
      </c>
      <c r="F4" s="17" t="s">
        <v>80</v>
      </c>
      <c r="G4" s="17" t="s">
        <v>80</v>
      </c>
      <c r="H4" s="17" t="s">
        <v>62</v>
      </c>
      <c r="I4" s="17" t="s">
        <v>64</v>
      </c>
      <c r="J4" s="23" t="s">
        <v>68</v>
      </c>
      <c r="K4" s="18" t="s">
        <v>69</v>
      </c>
      <c r="L4" s="25" t="s">
        <v>66</v>
      </c>
      <c r="M4" s="11"/>
      <c r="N4" s="163"/>
      <c r="O4" s="11"/>
      <c r="P4" s="61" t="s">
        <v>16</v>
      </c>
      <c r="Q4" s="38" t="s">
        <v>20</v>
      </c>
      <c r="R4" s="38" t="s">
        <v>21</v>
      </c>
      <c r="S4" s="38" t="s">
        <v>22</v>
      </c>
      <c r="T4" s="38" t="s">
        <v>1</v>
      </c>
      <c r="U4" s="38" t="s">
        <v>23</v>
      </c>
      <c r="V4" s="38"/>
      <c r="W4" s="72"/>
      <c r="X4" s="72" t="s">
        <v>29</v>
      </c>
      <c r="Y4" s="73" t="s">
        <v>34</v>
      </c>
      <c r="Z4" s="146"/>
    </row>
    <row r="5" spans="1:28" ht="9.75" customHeight="1" thickBot="1" x14ac:dyDescent="0.2">
      <c r="A5" s="7"/>
      <c r="B5" s="19"/>
      <c r="C5" s="20"/>
      <c r="D5" s="20" t="s">
        <v>4</v>
      </c>
      <c r="E5" s="26" t="s">
        <v>5</v>
      </c>
      <c r="F5" s="20" t="s">
        <v>78</v>
      </c>
      <c r="G5" s="20" t="s">
        <v>30</v>
      </c>
      <c r="H5" s="20" t="s">
        <v>63</v>
      </c>
      <c r="I5" s="20" t="s">
        <v>30</v>
      </c>
      <c r="J5" s="19" t="s">
        <v>15</v>
      </c>
      <c r="K5" s="21" t="s">
        <v>15</v>
      </c>
      <c r="L5" s="27"/>
      <c r="M5" s="169"/>
      <c r="N5" s="170"/>
      <c r="O5" s="11"/>
      <c r="P5" s="54"/>
      <c r="Q5" s="40" t="s">
        <v>25</v>
      </c>
      <c r="R5" s="40" t="s">
        <v>24</v>
      </c>
      <c r="S5" s="40" t="s">
        <v>26</v>
      </c>
      <c r="T5" s="40" t="s">
        <v>27</v>
      </c>
      <c r="U5" s="40" t="s">
        <v>28</v>
      </c>
      <c r="V5" s="40"/>
      <c r="W5" s="46"/>
      <c r="X5" s="46" t="s">
        <v>84</v>
      </c>
      <c r="Y5" s="86" t="s">
        <v>82</v>
      </c>
      <c r="Z5" s="146"/>
    </row>
    <row r="6" spans="1:28" ht="9.75" customHeight="1" x14ac:dyDescent="0.15">
      <c r="A6" s="7"/>
      <c r="B6" s="23" t="s">
        <v>6</v>
      </c>
      <c r="C6" s="17">
        <v>1</v>
      </c>
      <c r="D6" s="17">
        <v>400</v>
      </c>
      <c r="E6" s="24" t="s">
        <v>65</v>
      </c>
      <c r="F6" s="17">
        <v>9.6</v>
      </c>
      <c r="G6" s="17">
        <f t="shared" ref="G6:G16" si="0">F6*C6</f>
        <v>9.6</v>
      </c>
      <c r="H6" s="124">
        <v>18.37</v>
      </c>
      <c r="I6" s="125">
        <f t="shared" ref="I6:I16" si="1">+G6*H6</f>
        <v>176.352</v>
      </c>
      <c r="J6" s="28">
        <f t="shared" ref="J6:J16" si="2">+G6*5</f>
        <v>48</v>
      </c>
      <c r="K6" s="128">
        <f t="shared" ref="K6:K16" si="3">+I6*5</f>
        <v>881.76</v>
      </c>
      <c r="L6" s="30">
        <f>K6*0.06</f>
        <v>52.9056</v>
      </c>
      <c r="M6" s="11"/>
      <c r="N6" s="162"/>
      <c r="O6" s="11"/>
      <c r="P6" s="82" t="s">
        <v>60</v>
      </c>
      <c r="Q6" s="37">
        <v>0.5</v>
      </c>
      <c r="R6" s="41">
        <f>+S6*T6</f>
        <v>3922.5</v>
      </c>
      <c r="S6" s="38">
        <v>2.5</v>
      </c>
      <c r="T6" s="168">
        <v>1569</v>
      </c>
      <c r="U6" s="168">
        <f>1569</f>
        <v>1569</v>
      </c>
      <c r="V6" s="41"/>
      <c r="W6" s="107"/>
      <c r="X6" s="107">
        <f>+T6*2</f>
        <v>3138</v>
      </c>
      <c r="Y6" s="171">
        <f>+X6*S2</f>
        <v>37656</v>
      </c>
      <c r="Z6" s="146"/>
    </row>
    <row r="7" spans="1:28" ht="9.75" customHeight="1" x14ac:dyDescent="0.15">
      <c r="A7" s="7"/>
      <c r="B7" s="28" t="s">
        <v>6</v>
      </c>
      <c r="C7" s="22">
        <v>2</v>
      </c>
      <c r="D7" s="22">
        <v>200</v>
      </c>
      <c r="E7" s="29" t="s">
        <v>65</v>
      </c>
      <c r="F7" s="22">
        <v>33.6</v>
      </c>
      <c r="G7" s="22">
        <f t="shared" si="0"/>
        <v>67.2</v>
      </c>
      <c r="H7" s="121">
        <v>9.31</v>
      </c>
      <c r="I7" s="165">
        <f t="shared" si="1"/>
        <v>625.63200000000006</v>
      </c>
      <c r="J7" s="28">
        <f t="shared" si="2"/>
        <v>336</v>
      </c>
      <c r="K7" s="129">
        <f t="shared" si="3"/>
        <v>3128.1600000000003</v>
      </c>
      <c r="L7" s="30">
        <f>K7*0.06</f>
        <v>187.68960000000001</v>
      </c>
      <c r="M7" s="11"/>
      <c r="N7" s="162"/>
      <c r="O7" s="11"/>
      <c r="P7" s="83" t="s">
        <v>87</v>
      </c>
      <c r="Q7" s="39"/>
      <c r="R7" s="42">
        <f>+Q6*Q2-R6</f>
        <v>3577.5</v>
      </c>
      <c r="S7" s="36">
        <v>2.5</v>
      </c>
      <c r="T7" s="174">
        <f>R7/S7</f>
        <v>1431</v>
      </c>
      <c r="U7" s="174"/>
      <c r="V7" s="42"/>
      <c r="W7" s="108"/>
      <c r="X7" s="108">
        <f>T7*2</f>
        <v>2862</v>
      </c>
      <c r="Y7" s="171">
        <f>+X7*S2</f>
        <v>34344</v>
      </c>
      <c r="Z7" s="146"/>
    </row>
    <row r="8" spans="1:28" ht="9.75" customHeight="1" x14ac:dyDescent="0.15">
      <c r="A8" s="7"/>
      <c r="B8" s="154" t="s">
        <v>6</v>
      </c>
      <c r="C8" s="22">
        <v>2</v>
      </c>
      <c r="D8" s="155">
        <v>120</v>
      </c>
      <c r="E8" s="156" t="s">
        <v>65</v>
      </c>
      <c r="F8" s="155">
        <v>84.8</v>
      </c>
      <c r="G8" s="22">
        <f t="shared" si="0"/>
        <v>169.6</v>
      </c>
      <c r="H8" s="157">
        <v>5.69</v>
      </c>
      <c r="I8" s="165">
        <f t="shared" si="1"/>
        <v>965.024</v>
      </c>
      <c r="J8" s="28">
        <f t="shared" si="2"/>
        <v>848</v>
      </c>
      <c r="K8" s="158">
        <f t="shared" si="3"/>
        <v>4825.12</v>
      </c>
      <c r="L8" s="159">
        <f>K8*0.06</f>
        <v>289.50719999999995</v>
      </c>
      <c r="M8" s="11"/>
      <c r="N8" s="162"/>
      <c r="O8" s="11"/>
      <c r="P8" s="83" t="s">
        <v>59</v>
      </c>
      <c r="Q8" s="39"/>
      <c r="R8" s="42"/>
      <c r="S8" s="36">
        <v>30</v>
      </c>
      <c r="T8" s="42">
        <v>120</v>
      </c>
      <c r="U8" s="36"/>
      <c r="V8" s="42"/>
      <c r="W8" s="108"/>
      <c r="X8" s="142">
        <f>+T8*4</f>
        <v>480</v>
      </c>
      <c r="Y8" s="88">
        <f>+X8*S2</f>
        <v>5760</v>
      </c>
      <c r="Z8" s="146"/>
    </row>
    <row r="9" spans="1:28" ht="9.75" customHeight="1" x14ac:dyDescent="0.15">
      <c r="A9" s="7"/>
      <c r="B9" s="154" t="s">
        <v>6</v>
      </c>
      <c r="C9" s="22">
        <v>2</v>
      </c>
      <c r="D9" s="155">
        <v>80</v>
      </c>
      <c r="E9" s="156" t="s">
        <v>65</v>
      </c>
      <c r="F9" s="155">
        <v>19.600000000000001</v>
      </c>
      <c r="G9" s="22">
        <f t="shared" si="0"/>
        <v>39.200000000000003</v>
      </c>
      <c r="H9" s="157">
        <v>3.88</v>
      </c>
      <c r="I9" s="165">
        <f t="shared" si="1"/>
        <v>152.096</v>
      </c>
      <c r="J9" s="28">
        <f t="shared" si="2"/>
        <v>196</v>
      </c>
      <c r="K9" s="158">
        <f t="shared" si="3"/>
        <v>760.48</v>
      </c>
      <c r="L9" s="159">
        <f>K9*0.06</f>
        <v>45.628799999999998</v>
      </c>
      <c r="M9" s="11"/>
      <c r="N9" s="162"/>
      <c r="O9" s="11"/>
      <c r="P9" s="83" t="s">
        <v>19</v>
      </c>
      <c r="Q9" s="39">
        <v>0.1</v>
      </c>
      <c r="R9" s="36">
        <f>+Q9*Q2</f>
        <v>1500</v>
      </c>
      <c r="S9" s="36">
        <v>2.5</v>
      </c>
      <c r="T9" s="42">
        <f t="shared" ref="T9:T11" si="4">+R9/S9</f>
        <v>600</v>
      </c>
      <c r="U9" s="42">
        <f>+T9</f>
        <v>600</v>
      </c>
      <c r="V9" s="42"/>
      <c r="W9" s="108"/>
      <c r="X9" s="142">
        <v>1200</v>
      </c>
      <c r="Y9" s="89">
        <f>+X9*3</f>
        <v>3600</v>
      </c>
      <c r="Z9" s="146"/>
    </row>
    <row r="10" spans="1:28" ht="9.75" customHeight="1" x14ac:dyDescent="0.15">
      <c r="A10" s="7"/>
      <c r="B10" s="28" t="s">
        <v>7</v>
      </c>
      <c r="C10" s="22">
        <v>1</v>
      </c>
      <c r="D10" s="22">
        <v>74</v>
      </c>
      <c r="E10" s="29" t="s">
        <v>65</v>
      </c>
      <c r="F10" s="22">
        <v>36.799999999999997</v>
      </c>
      <c r="G10" s="22">
        <f t="shared" si="0"/>
        <v>36.799999999999997</v>
      </c>
      <c r="H10" s="121">
        <v>3.88</v>
      </c>
      <c r="I10" s="165">
        <f t="shared" si="1"/>
        <v>142.78399999999999</v>
      </c>
      <c r="J10" s="28">
        <f t="shared" si="2"/>
        <v>184</v>
      </c>
      <c r="K10" s="129">
        <f t="shared" si="3"/>
        <v>713.92</v>
      </c>
      <c r="L10" s="30">
        <f>K10*0.06</f>
        <v>42.835199999999993</v>
      </c>
      <c r="M10" s="11"/>
      <c r="N10" s="162"/>
      <c r="O10" s="11"/>
      <c r="P10" s="83" t="s">
        <v>55</v>
      </c>
      <c r="Q10" s="39">
        <v>0.16500000000000001</v>
      </c>
      <c r="R10" s="36">
        <f>+Q10*Q2</f>
        <v>2475</v>
      </c>
      <c r="S10" s="36">
        <v>30</v>
      </c>
      <c r="T10" s="42">
        <v>83</v>
      </c>
      <c r="U10" s="36"/>
      <c r="V10" s="36"/>
      <c r="W10" s="108"/>
      <c r="X10" s="142">
        <f>+T10*4</f>
        <v>332</v>
      </c>
      <c r="Y10" s="172">
        <f>+X10*3</f>
        <v>996</v>
      </c>
      <c r="Z10" s="146"/>
    </row>
    <row r="11" spans="1:28" ht="9.75" customHeight="1" x14ac:dyDescent="0.15">
      <c r="A11" s="7"/>
      <c r="B11" s="28" t="s">
        <v>8</v>
      </c>
      <c r="C11" s="22">
        <v>7</v>
      </c>
      <c r="D11" s="22">
        <v>14</v>
      </c>
      <c r="E11" s="29" t="s">
        <v>65</v>
      </c>
      <c r="F11" s="22">
        <v>44.8</v>
      </c>
      <c r="G11" s="22">
        <f t="shared" si="0"/>
        <v>313.59999999999997</v>
      </c>
      <c r="H11" s="121">
        <v>1.18</v>
      </c>
      <c r="I11" s="165">
        <f t="shared" si="1"/>
        <v>370.04799999999994</v>
      </c>
      <c r="J11" s="28">
        <f t="shared" si="2"/>
        <v>1567.9999999999998</v>
      </c>
      <c r="K11" s="129">
        <f t="shared" si="3"/>
        <v>1850.2399999999998</v>
      </c>
      <c r="L11" s="30"/>
      <c r="M11" s="11"/>
      <c r="N11" s="162"/>
      <c r="O11" s="11"/>
      <c r="P11" s="83" t="s">
        <v>58</v>
      </c>
      <c r="Q11" s="39">
        <v>0.2</v>
      </c>
      <c r="R11" s="36">
        <f>+Q11*Q2</f>
        <v>3000</v>
      </c>
      <c r="S11" s="36">
        <v>30</v>
      </c>
      <c r="T11" s="42">
        <f t="shared" si="4"/>
        <v>100</v>
      </c>
      <c r="U11" s="36"/>
      <c r="V11" s="36"/>
      <c r="W11" s="108"/>
      <c r="X11" s="142">
        <f>+T11*4</f>
        <v>400</v>
      </c>
      <c r="Y11" s="88">
        <f>+X11*S2</f>
        <v>4800</v>
      </c>
      <c r="Z11" s="146"/>
    </row>
    <row r="12" spans="1:28" ht="9.75" customHeight="1" x14ac:dyDescent="0.15">
      <c r="A12" s="7"/>
      <c r="B12" s="28" t="s">
        <v>9</v>
      </c>
      <c r="C12" s="22">
        <v>3</v>
      </c>
      <c r="D12" s="22">
        <v>26</v>
      </c>
      <c r="E12" s="29" t="s">
        <v>65</v>
      </c>
      <c r="F12" s="22">
        <v>36.799999999999997</v>
      </c>
      <c r="G12" s="22">
        <f t="shared" si="0"/>
        <v>110.39999999999999</v>
      </c>
      <c r="H12" s="121">
        <v>2.0699999999999998</v>
      </c>
      <c r="I12" s="165">
        <f t="shared" si="1"/>
        <v>228.52799999999996</v>
      </c>
      <c r="J12" s="28">
        <f t="shared" si="2"/>
        <v>552</v>
      </c>
      <c r="K12" s="129">
        <f t="shared" si="3"/>
        <v>1142.6399999999999</v>
      </c>
      <c r="L12" s="30"/>
      <c r="M12" s="11"/>
      <c r="N12" s="162"/>
      <c r="O12" s="11"/>
      <c r="P12" s="82" t="s">
        <v>56</v>
      </c>
      <c r="Q12" s="112">
        <v>0.03</v>
      </c>
      <c r="R12" s="41">
        <f>+Q12*Q2</f>
        <v>450</v>
      </c>
      <c r="S12" s="38">
        <v>1</v>
      </c>
      <c r="T12" s="41">
        <f>+R12/S12</f>
        <v>450</v>
      </c>
      <c r="U12" s="38"/>
      <c r="V12" s="38"/>
      <c r="W12" s="107"/>
      <c r="X12" s="38"/>
      <c r="Y12" s="67"/>
      <c r="Z12" s="146"/>
    </row>
    <row r="13" spans="1:28" ht="9.75" customHeight="1" x14ac:dyDescent="0.15">
      <c r="A13" s="7"/>
      <c r="B13" s="28" t="s">
        <v>10</v>
      </c>
      <c r="C13" s="22">
        <v>2</v>
      </c>
      <c r="D13" s="22">
        <v>50</v>
      </c>
      <c r="E13" s="29" t="s">
        <v>65</v>
      </c>
      <c r="F13" s="22">
        <v>36.799999999999997</v>
      </c>
      <c r="G13" s="22">
        <f t="shared" si="0"/>
        <v>73.599999999999994</v>
      </c>
      <c r="H13" s="121">
        <v>2.97</v>
      </c>
      <c r="I13" s="165">
        <f t="shared" si="1"/>
        <v>218.59199999999998</v>
      </c>
      <c r="J13" s="28">
        <f t="shared" si="2"/>
        <v>368</v>
      </c>
      <c r="K13" s="129">
        <f t="shared" si="3"/>
        <v>1092.96</v>
      </c>
      <c r="L13" s="30"/>
      <c r="M13" s="11"/>
      <c r="N13" s="162"/>
      <c r="O13" s="11"/>
      <c r="P13" s="52" t="s">
        <v>57</v>
      </c>
      <c r="Q13" s="109">
        <v>5.0000000000000001E-3</v>
      </c>
      <c r="R13" s="110">
        <f>+Q13*Q2</f>
        <v>75</v>
      </c>
      <c r="S13" s="8">
        <v>1</v>
      </c>
      <c r="T13" s="110">
        <f>+R13/S13</f>
        <v>75</v>
      </c>
      <c r="U13" s="8"/>
      <c r="V13" s="8"/>
      <c r="W13" s="111"/>
      <c r="X13" s="8"/>
      <c r="Y13" s="66"/>
      <c r="Z13" s="146"/>
    </row>
    <row r="14" spans="1:28" ht="9.75" customHeight="1" x14ac:dyDescent="0.15">
      <c r="A14" s="7"/>
      <c r="B14" s="28" t="s">
        <v>11</v>
      </c>
      <c r="C14" s="22">
        <v>2</v>
      </c>
      <c r="D14" s="22">
        <v>11</v>
      </c>
      <c r="E14" s="29" t="s">
        <v>89</v>
      </c>
      <c r="F14" s="22">
        <v>44.8</v>
      </c>
      <c r="G14" s="22">
        <f t="shared" si="0"/>
        <v>89.6</v>
      </c>
      <c r="H14" s="121"/>
      <c r="I14" s="165"/>
      <c r="J14" s="28"/>
      <c r="K14" s="129"/>
      <c r="L14" s="30"/>
      <c r="M14" s="11"/>
      <c r="N14" s="162"/>
      <c r="O14" s="11"/>
      <c r="P14" s="63" t="s">
        <v>86</v>
      </c>
      <c r="Q14" s="114">
        <f>SUM(Q6:Q13)</f>
        <v>1</v>
      </c>
      <c r="R14" s="45">
        <f>SUM(R6:R13)</f>
        <v>15000</v>
      </c>
      <c r="S14" s="13"/>
      <c r="T14" s="13"/>
      <c r="U14" s="13"/>
      <c r="V14" s="13"/>
      <c r="W14" s="115"/>
      <c r="X14" s="173">
        <f>+X6+X7+X8+X9+X10+X11+X12</f>
        <v>8412</v>
      </c>
      <c r="Y14" s="113">
        <f>+Y6+Y7+Y8+Y9+Y10+Y11</f>
        <v>87156</v>
      </c>
      <c r="Z14" s="146"/>
    </row>
    <row r="15" spans="1:28" ht="9.75" customHeight="1" x14ac:dyDescent="0.15">
      <c r="A15" s="7"/>
      <c r="B15" s="28" t="s">
        <v>12</v>
      </c>
      <c r="C15" s="22">
        <v>1</v>
      </c>
      <c r="D15" s="22">
        <v>15</v>
      </c>
      <c r="E15" s="29" t="s">
        <v>89</v>
      </c>
      <c r="F15" s="22">
        <v>44.8</v>
      </c>
      <c r="G15" s="22">
        <f t="shared" si="0"/>
        <v>44.8</v>
      </c>
      <c r="H15" s="121"/>
      <c r="I15" s="165"/>
      <c r="J15" s="28"/>
      <c r="K15" s="129"/>
      <c r="L15" s="30"/>
      <c r="M15" s="11"/>
      <c r="N15" s="162"/>
      <c r="O15" s="11"/>
      <c r="P15" s="8"/>
      <c r="Q15" s="8"/>
      <c r="R15" s="8"/>
      <c r="S15" s="8"/>
      <c r="T15" s="8"/>
      <c r="U15" s="8"/>
      <c r="V15" s="8"/>
      <c r="W15" s="8"/>
      <c r="X15" s="8"/>
      <c r="Y15" s="8"/>
      <c r="Z15" s="146"/>
      <c r="AB15" s="8"/>
    </row>
    <row r="16" spans="1:28" ht="9.75" customHeight="1" thickBot="1" x14ac:dyDescent="0.2">
      <c r="A16" s="7"/>
      <c r="B16" s="19" t="s">
        <v>13</v>
      </c>
      <c r="C16" s="20">
        <v>1</v>
      </c>
      <c r="D16" s="20">
        <v>77</v>
      </c>
      <c r="E16" s="29" t="s">
        <v>65</v>
      </c>
      <c r="F16" s="22">
        <v>36.799999999999997</v>
      </c>
      <c r="G16" s="22">
        <f t="shared" si="0"/>
        <v>36.799999999999997</v>
      </c>
      <c r="H16" s="122">
        <v>3.88</v>
      </c>
      <c r="I16" s="126">
        <f t="shared" si="1"/>
        <v>142.78399999999999</v>
      </c>
      <c r="J16" s="28">
        <f t="shared" si="2"/>
        <v>184</v>
      </c>
      <c r="K16" s="131">
        <f t="shared" si="3"/>
        <v>713.92</v>
      </c>
      <c r="L16" s="30">
        <f>K16*0.06</f>
        <v>42.835199999999993</v>
      </c>
      <c r="M16" s="11"/>
      <c r="N16" s="162"/>
      <c r="O16" s="11"/>
      <c r="P16" s="61" t="s">
        <v>49</v>
      </c>
      <c r="Q16" s="9"/>
      <c r="R16" s="9"/>
      <c r="S16" s="9"/>
      <c r="T16" s="9"/>
      <c r="U16" s="9"/>
      <c r="V16" s="9"/>
      <c r="W16" s="9"/>
      <c r="X16" s="38" t="s">
        <v>85</v>
      </c>
      <c r="Y16" s="73" t="s">
        <v>34</v>
      </c>
      <c r="Z16" s="146"/>
    </row>
    <row r="17" spans="1:26" ht="9.75" customHeight="1" thickBot="1" x14ac:dyDescent="0.2">
      <c r="A17" s="7"/>
      <c r="B17" s="31" t="s">
        <v>14</v>
      </c>
      <c r="C17" s="32"/>
      <c r="D17" s="32"/>
      <c r="E17" s="34"/>
      <c r="F17" s="32"/>
      <c r="G17" s="32"/>
      <c r="H17" s="106"/>
      <c r="I17" s="123">
        <f>SUM(I6:I16)</f>
        <v>3021.8399999999997</v>
      </c>
      <c r="J17" s="31"/>
      <c r="K17" s="127">
        <f>SUM(K6:K16)</f>
        <v>15109.199999999999</v>
      </c>
      <c r="L17" s="166"/>
      <c r="M17" s="167"/>
      <c r="N17" s="162"/>
      <c r="O17" s="11"/>
      <c r="P17" s="54"/>
      <c r="Q17" s="10"/>
      <c r="R17" s="10"/>
      <c r="S17" s="10"/>
      <c r="T17" s="10"/>
      <c r="U17" s="10"/>
      <c r="V17" s="10"/>
      <c r="W17" s="10"/>
      <c r="X17" s="40"/>
      <c r="Y17" s="86" t="s">
        <v>82</v>
      </c>
      <c r="Z17" s="146"/>
    </row>
    <row r="18" spans="1:26" ht="9.75" customHeight="1" thickBot="1" x14ac:dyDescent="0.2">
      <c r="A18" s="7"/>
      <c r="B18" s="11"/>
      <c r="C18" s="11"/>
      <c r="D18" s="11"/>
      <c r="E18" s="11"/>
      <c r="F18" s="137"/>
      <c r="G18" s="137"/>
      <c r="H18" s="138"/>
      <c r="I18" s="139"/>
      <c r="J18" s="140"/>
      <c r="K18" s="141"/>
      <c r="L18" s="142"/>
      <c r="M18" s="11"/>
      <c r="N18" s="163"/>
      <c r="O18" s="11"/>
      <c r="P18" s="50" t="s">
        <v>43</v>
      </c>
      <c r="Q18" s="9"/>
      <c r="R18" s="9"/>
      <c r="S18" s="9"/>
      <c r="T18" s="9"/>
      <c r="U18" s="9"/>
      <c r="V18" s="9"/>
      <c r="W18" s="9"/>
      <c r="X18" s="72">
        <v>200</v>
      </c>
      <c r="Y18" s="87">
        <f>+X18*S2</f>
        <v>2400</v>
      </c>
      <c r="Z18" s="146"/>
    </row>
    <row r="19" spans="1:26" ht="9.75" customHeight="1" x14ac:dyDescent="0.15">
      <c r="A19" s="7"/>
      <c r="B19" s="15" t="s">
        <v>77</v>
      </c>
      <c r="C19" s="16"/>
      <c r="D19" s="16"/>
      <c r="E19" s="16"/>
      <c r="F19" s="17"/>
      <c r="G19" s="17"/>
      <c r="H19" s="17"/>
      <c r="I19" s="18"/>
      <c r="J19" s="17"/>
      <c r="K19" s="18"/>
      <c r="L19" s="161"/>
      <c r="M19" s="11"/>
      <c r="N19" s="163"/>
      <c r="O19" s="11"/>
      <c r="P19" s="52"/>
      <c r="Q19" s="8"/>
      <c r="R19" s="8"/>
      <c r="S19" s="8"/>
      <c r="T19" s="8"/>
      <c r="U19" s="8"/>
      <c r="V19" s="8"/>
      <c r="W19" s="8"/>
      <c r="X19" s="47"/>
      <c r="Y19" s="68"/>
      <c r="Z19" s="146"/>
    </row>
    <row r="20" spans="1:26" ht="9.75" customHeight="1" thickBot="1" x14ac:dyDescent="0.2">
      <c r="A20" s="7"/>
      <c r="B20" s="19"/>
      <c r="C20" s="20"/>
      <c r="D20" s="20"/>
      <c r="E20" s="20"/>
      <c r="F20" s="20"/>
      <c r="G20" s="20"/>
      <c r="H20" s="20"/>
      <c r="I20" s="21"/>
      <c r="J20" s="20"/>
      <c r="K20" s="21"/>
      <c r="L20" s="132"/>
      <c r="M20" s="11"/>
      <c r="N20" s="163"/>
      <c r="O20" s="11"/>
      <c r="P20" s="54" t="s">
        <v>44</v>
      </c>
      <c r="Q20" s="10"/>
      <c r="R20" s="10"/>
      <c r="S20" s="10"/>
      <c r="T20" s="10"/>
      <c r="U20" s="10"/>
      <c r="V20" s="10"/>
      <c r="W20" s="10"/>
      <c r="X20" s="46">
        <v>120</v>
      </c>
      <c r="Y20" s="90">
        <f>+X20*S2</f>
        <v>1440</v>
      </c>
      <c r="Z20" s="146"/>
    </row>
    <row r="21" spans="1:26" ht="9.75" customHeight="1" x14ac:dyDescent="0.15">
      <c r="A21" s="7"/>
      <c r="B21" s="23" t="s">
        <v>0</v>
      </c>
      <c r="C21" s="17" t="s">
        <v>1</v>
      </c>
      <c r="D21" s="17" t="s">
        <v>2</v>
      </c>
      <c r="E21" s="24" t="s">
        <v>3</v>
      </c>
      <c r="F21" s="17" t="s">
        <v>80</v>
      </c>
      <c r="G21" s="17" t="s">
        <v>80</v>
      </c>
      <c r="H21" s="17" t="s">
        <v>62</v>
      </c>
      <c r="I21" s="17" t="s">
        <v>64</v>
      </c>
      <c r="J21" s="23" t="s">
        <v>70</v>
      </c>
      <c r="K21" s="18" t="s">
        <v>71</v>
      </c>
      <c r="L21" s="25" t="s">
        <v>66</v>
      </c>
      <c r="M21" s="11"/>
      <c r="N21" s="163"/>
      <c r="O21" s="11"/>
      <c r="P21" s="63" t="s">
        <v>14</v>
      </c>
      <c r="Q21" s="13"/>
      <c r="R21" s="13"/>
      <c r="S21" s="13"/>
      <c r="T21" s="13"/>
      <c r="U21" s="13"/>
      <c r="V21" s="13"/>
      <c r="W21" s="13"/>
      <c r="X21" s="44">
        <f>SUM(X18:X20)</f>
        <v>320</v>
      </c>
      <c r="Y21" s="70">
        <f>SUM(Y18:Y20)</f>
        <v>3840</v>
      </c>
      <c r="Z21" s="146"/>
    </row>
    <row r="22" spans="1:26" ht="9.75" customHeight="1" thickBot="1" x14ac:dyDescent="0.2">
      <c r="A22" s="7"/>
      <c r="B22" s="19"/>
      <c r="C22" s="20"/>
      <c r="D22" s="20" t="s">
        <v>4</v>
      </c>
      <c r="E22" s="26" t="s">
        <v>5</v>
      </c>
      <c r="F22" s="20" t="s">
        <v>78</v>
      </c>
      <c r="G22" s="20" t="s">
        <v>30</v>
      </c>
      <c r="H22" s="20" t="s">
        <v>63</v>
      </c>
      <c r="I22" s="20" t="s">
        <v>30</v>
      </c>
      <c r="J22" s="19" t="s">
        <v>15</v>
      </c>
      <c r="K22" s="21" t="s">
        <v>15</v>
      </c>
      <c r="L22" s="27"/>
      <c r="M22" s="169"/>
      <c r="N22" s="170"/>
      <c r="O22" s="11"/>
      <c r="P22" s="52"/>
      <c r="Q22" s="8"/>
      <c r="R22" s="8"/>
      <c r="S22" s="8"/>
      <c r="T22" s="8"/>
      <c r="U22" s="8"/>
      <c r="V22" s="8"/>
      <c r="W22" s="8"/>
      <c r="X22" s="8"/>
      <c r="Y22" s="53"/>
      <c r="Z22" s="146"/>
    </row>
    <row r="23" spans="1:26" ht="9.75" customHeight="1" x14ac:dyDescent="0.15">
      <c r="A23" s="7"/>
      <c r="B23" s="23"/>
      <c r="C23" s="17"/>
      <c r="D23" s="17"/>
      <c r="E23" s="24"/>
      <c r="F23" s="17"/>
      <c r="G23" s="17"/>
      <c r="H23" s="124"/>
      <c r="I23" s="125"/>
      <c r="J23" s="23"/>
      <c r="K23" s="128"/>
      <c r="L23" s="30"/>
      <c r="M23" s="11"/>
      <c r="N23" s="163"/>
      <c r="O23" s="11"/>
      <c r="P23" s="84" t="s">
        <v>35</v>
      </c>
      <c r="Q23" s="13"/>
      <c r="R23" s="13"/>
      <c r="S23" s="13"/>
      <c r="T23" s="13"/>
      <c r="U23" s="13"/>
      <c r="V23" s="13"/>
      <c r="W23" s="13"/>
      <c r="X23" s="13"/>
      <c r="Y23" s="85"/>
      <c r="Z23" s="146"/>
    </row>
    <row r="24" spans="1:26" ht="9.75" customHeight="1" x14ac:dyDescent="0.15">
      <c r="A24" s="7"/>
      <c r="B24" s="28"/>
      <c r="C24" s="22"/>
      <c r="D24" s="22"/>
      <c r="E24" s="29"/>
      <c r="F24" s="22"/>
      <c r="G24" s="22"/>
      <c r="H24" s="121"/>
      <c r="I24" s="126"/>
      <c r="J24" s="28"/>
      <c r="K24" s="129"/>
      <c r="L24" s="30"/>
      <c r="M24" s="11"/>
      <c r="N24" s="163"/>
      <c r="O24" s="11"/>
      <c r="P24" s="50" t="s">
        <v>31</v>
      </c>
      <c r="Q24" s="116">
        <f>+Y6+Y9</f>
        <v>41256</v>
      </c>
      <c r="R24" s="116">
        <f>+Y18</f>
        <v>2400</v>
      </c>
      <c r="S24" s="48"/>
      <c r="T24" s="9"/>
      <c r="U24" s="9"/>
      <c r="V24" s="58">
        <f>SUM(Q24:U24)</f>
        <v>43656</v>
      </c>
      <c r="W24" s="9"/>
      <c r="X24" s="9"/>
      <c r="Y24" s="51"/>
      <c r="Z24" s="146"/>
    </row>
    <row r="25" spans="1:26" ht="9.75" customHeight="1" x14ac:dyDescent="0.15">
      <c r="A25" s="7"/>
      <c r="B25" s="28"/>
      <c r="C25" s="22"/>
      <c r="D25" s="22"/>
      <c r="E25" s="29"/>
      <c r="F25" s="22"/>
      <c r="G25" s="22"/>
      <c r="H25" s="121"/>
      <c r="I25" s="126"/>
      <c r="J25" s="28"/>
      <c r="K25" s="129"/>
      <c r="L25" s="30"/>
      <c r="M25" s="11"/>
      <c r="N25" s="163"/>
      <c r="O25" s="11"/>
      <c r="P25" s="52" t="s">
        <v>32</v>
      </c>
      <c r="Q25" s="12">
        <v>0</v>
      </c>
      <c r="R25" s="11"/>
      <c r="S25" s="11"/>
      <c r="T25" s="8"/>
      <c r="U25" s="8"/>
      <c r="V25" s="64">
        <f>SUM(Q25:U25)</f>
        <v>0</v>
      </c>
      <c r="W25" s="8"/>
      <c r="X25" s="8"/>
      <c r="Y25" s="53"/>
      <c r="Z25" s="146"/>
    </row>
    <row r="26" spans="1:26" ht="9.75" customHeight="1" x14ac:dyDescent="0.15">
      <c r="A26" s="7"/>
      <c r="B26" s="28"/>
      <c r="C26" s="22"/>
      <c r="D26" s="22"/>
      <c r="E26" s="29"/>
      <c r="F26" s="22"/>
      <c r="G26" s="22"/>
      <c r="H26" s="121"/>
      <c r="I26" s="126"/>
      <c r="J26" s="28"/>
      <c r="K26" s="129"/>
      <c r="L26" s="30"/>
      <c r="M26" s="11"/>
      <c r="N26" s="163"/>
      <c r="O26" s="11"/>
      <c r="P26" s="54" t="s">
        <v>33</v>
      </c>
      <c r="Q26" s="117">
        <f>+Y20</f>
        <v>1440</v>
      </c>
      <c r="R26" s="14"/>
      <c r="S26" s="14"/>
      <c r="T26" s="10"/>
      <c r="U26" s="10"/>
      <c r="V26" s="59">
        <f>SUM(Q26:U26)</f>
        <v>1440</v>
      </c>
      <c r="W26" s="10"/>
      <c r="X26" s="10"/>
      <c r="Y26" s="55"/>
      <c r="Z26" s="146"/>
    </row>
    <row r="27" spans="1:26" ht="9.75" customHeight="1" x14ac:dyDescent="0.15">
      <c r="A27" s="7"/>
      <c r="B27" s="28" t="s">
        <v>7</v>
      </c>
      <c r="C27" s="22">
        <v>1</v>
      </c>
      <c r="D27" s="22">
        <v>74</v>
      </c>
      <c r="E27" s="29" t="s">
        <v>65</v>
      </c>
      <c r="F27" s="22">
        <v>22</v>
      </c>
      <c r="G27" s="22">
        <f>F27*C27</f>
        <v>22</v>
      </c>
      <c r="H27" s="121">
        <v>3.88</v>
      </c>
      <c r="I27" s="165">
        <f>+G27*H27</f>
        <v>85.36</v>
      </c>
      <c r="J27" s="28">
        <f>+G27*7</f>
        <v>154</v>
      </c>
      <c r="K27" s="129">
        <f t="shared" ref="K27:K30" si="5">+I27*7</f>
        <v>597.52</v>
      </c>
      <c r="L27" s="30">
        <f>K27*0.06</f>
        <v>35.851199999999999</v>
      </c>
      <c r="M27" s="11"/>
      <c r="N27" s="162"/>
      <c r="O27" s="11"/>
      <c r="P27" s="63" t="s">
        <v>14</v>
      </c>
      <c r="Q27" s="49"/>
      <c r="R27" s="49"/>
      <c r="S27" s="49"/>
      <c r="T27" s="13"/>
      <c r="U27" s="13"/>
      <c r="V27" s="81">
        <f>SUM(V24:V26)</f>
        <v>45096</v>
      </c>
      <c r="W27" s="13"/>
      <c r="X27" s="13"/>
      <c r="Y27" s="85"/>
      <c r="Z27" s="146"/>
    </row>
    <row r="28" spans="1:26" ht="9.75" customHeight="1" x14ac:dyDescent="0.15">
      <c r="A28" s="7"/>
      <c r="B28" s="28" t="s">
        <v>8</v>
      </c>
      <c r="C28" s="22">
        <v>3</v>
      </c>
      <c r="D28" s="22">
        <v>14</v>
      </c>
      <c r="E28" s="29" t="s">
        <v>65</v>
      </c>
      <c r="F28" s="22">
        <v>16</v>
      </c>
      <c r="G28" s="22">
        <f>F28*C28</f>
        <v>48</v>
      </c>
      <c r="H28" s="121">
        <v>1.18</v>
      </c>
      <c r="I28" s="165">
        <f>+G28*H28</f>
        <v>56.64</v>
      </c>
      <c r="J28" s="28">
        <f>+G28*7</f>
        <v>336</v>
      </c>
      <c r="K28" s="129">
        <f t="shared" si="5"/>
        <v>396.48</v>
      </c>
      <c r="L28" s="30"/>
      <c r="M28" s="11"/>
      <c r="N28" s="163"/>
      <c r="O28" s="11"/>
      <c r="P28" s="52"/>
      <c r="Q28" s="11"/>
      <c r="R28" s="11"/>
      <c r="S28" s="11"/>
      <c r="T28" s="8"/>
      <c r="U28" s="8"/>
      <c r="V28" s="8"/>
      <c r="W28" s="8"/>
      <c r="X28" s="8"/>
      <c r="Y28" s="53"/>
      <c r="Z28" s="146"/>
    </row>
    <row r="29" spans="1:26" ht="9.75" customHeight="1" x14ac:dyDescent="0.15">
      <c r="A29" s="7"/>
      <c r="B29" s="28" t="s">
        <v>9</v>
      </c>
      <c r="C29" s="22">
        <v>3</v>
      </c>
      <c r="D29" s="22">
        <v>26</v>
      </c>
      <c r="E29" s="29" t="s">
        <v>65</v>
      </c>
      <c r="F29" s="22">
        <v>22</v>
      </c>
      <c r="G29" s="22">
        <f>F29*C29</f>
        <v>66</v>
      </c>
      <c r="H29" s="121">
        <v>2.0699999999999998</v>
      </c>
      <c r="I29" s="165">
        <f>+G29*H29</f>
        <v>136.61999999999998</v>
      </c>
      <c r="J29" s="28">
        <f>+G29*7</f>
        <v>462</v>
      </c>
      <c r="K29" s="129">
        <f t="shared" si="5"/>
        <v>956.3399999999998</v>
      </c>
      <c r="L29" s="30"/>
      <c r="M29" s="11"/>
      <c r="N29" s="163"/>
      <c r="O29" s="11"/>
      <c r="P29" s="84" t="s">
        <v>42</v>
      </c>
      <c r="Q29" s="49"/>
      <c r="R29" s="49"/>
      <c r="S29" s="49"/>
      <c r="T29" s="13"/>
      <c r="U29" s="13"/>
      <c r="V29" s="70" t="s">
        <v>53</v>
      </c>
      <c r="W29" s="70" t="s">
        <v>52</v>
      </c>
      <c r="X29" s="70" t="s">
        <v>54</v>
      </c>
      <c r="Y29" s="85"/>
      <c r="Z29" s="146"/>
    </row>
    <row r="30" spans="1:26" ht="9.75" customHeight="1" x14ac:dyDescent="0.15">
      <c r="A30" s="7"/>
      <c r="B30" s="28" t="s">
        <v>10</v>
      </c>
      <c r="C30" s="22">
        <v>2</v>
      </c>
      <c r="D30" s="22">
        <v>50</v>
      </c>
      <c r="E30" s="29" t="s">
        <v>65</v>
      </c>
      <c r="F30" s="22">
        <v>22</v>
      </c>
      <c r="G30" s="22">
        <f>F30*C30</f>
        <v>44</v>
      </c>
      <c r="H30" s="121">
        <v>2.97</v>
      </c>
      <c r="I30" s="165">
        <f>+G30*H30</f>
        <v>130.68</v>
      </c>
      <c r="J30" s="28">
        <f>+G30*7</f>
        <v>308</v>
      </c>
      <c r="K30" s="129">
        <f t="shared" si="5"/>
        <v>914.76</v>
      </c>
      <c r="L30" s="30"/>
      <c r="M30" s="11"/>
      <c r="N30" s="163"/>
      <c r="O30" s="11"/>
      <c r="P30" s="50" t="s">
        <v>31</v>
      </c>
      <c r="Q30" s="116">
        <f>+Y6+Y7+Y9</f>
        <v>75600</v>
      </c>
      <c r="R30" s="116">
        <f>+Y18</f>
        <v>2400</v>
      </c>
      <c r="S30" s="48"/>
      <c r="T30" s="48"/>
      <c r="U30" s="9"/>
      <c r="V30" s="58">
        <f>SUM(Q30:T30)</f>
        <v>78000</v>
      </c>
      <c r="W30" s="58">
        <f>+V30*0.8</f>
        <v>62400</v>
      </c>
      <c r="X30" s="58">
        <f>+V30*0.2</f>
        <v>15600</v>
      </c>
      <c r="Y30" s="51"/>
      <c r="Z30" s="146"/>
    </row>
    <row r="31" spans="1:26" ht="9.75" customHeight="1" x14ac:dyDescent="0.15">
      <c r="A31" s="7"/>
      <c r="B31" s="28"/>
      <c r="C31" s="22"/>
      <c r="D31" s="22"/>
      <c r="E31" s="29"/>
      <c r="F31" s="22"/>
      <c r="G31" s="22"/>
      <c r="H31" s="121"/>
      <c r="I31" s="126"/>
      <c r="J31" s="28"/>
      <c r="K31" s="129"/>
      <c r="L31" s="30"/>
      <c r="M31" s="11"/>
      <c r="N31" s="163"/>
      <c r="O31" s="11"/>
      <c r="P31" s="52" t="s">
        <v>32</v>
      </c>
      <c r="Q31" s="12">
        <v>0</v>
      </c>
      <c r="R31" s="11"/>
      <c r="S31" s="11"/>
      <c r="T31" s="8"/>
      <c r="U31" s="8"/>
      <c r="V31" s="64">
        <f>SUM(Q31:U31)</f>
        <v>0</v>
      </c>
      <c r="W31" s="64">
        <f t="shared" ref="W31:W34" si="6">+V31*0.8</f>
        <v>0</v>
      </c>
      <c r="X31" s="64">
        <f t="shared" ref="X31:X32" si="7">+V31*0.2</f>
        <v>0</v>
      </c>
      <c r="Y31" s="53"/>
      <c r="Z31" s="146"/>
    </row>
    <row r="32" spans="1:26" ht="9.75" customHeight="1" x14ac:dyDescent="0.15">
      <c r="A32" s="7"/>
      <c r="B32" s="28"/>
      <c r="C32" s="22"/>
      <c r="D32" s="22"/>
      <c r="E32" s="29"/>
      <c r="F32" s="22"/>
      <c r="G32" s="22"/>
      <c r="H32" s="121"/>
      <c r="I32" s="126"/>
      <c r="J32" s="28"/>
      <c r="K32" s="129"/>
      <c r="L32" s="30"/>
      <c r="M32" s="11"/>
      <c r="N32" s="163"/>
      <c r="O32" s="11"/>
      <c r="P32" s="52" t="s">
        <v>33</v>
      </c>
      <c r="Q32" s="118">
        <f>+Y20</f>
        <v>1440</v>
      </c>
      <c r="R32" s="11"/>
      <c r="S32" s="11"/>
      <c r="T32" s="8"/>
      <c r="U32" s="8"/>
      <c r="V32" s="65">
        <f>SUM(Q32:U32)</f>
        <v>1440</v>
      </c>
      <c r="W32" s="65">
        <f t="shared" si="6"/>
        <v>1152</v>
      </c>
      <c r="X32" s="65">
        <f t="shared" si="7"/>
        <v>288</v>
      </c>
      <c r="Y32" s="53"/>
      <c r="Z32" s="146"/>
    </row>
    <row r="33" spans="1:26" ht="9.75" customHeight="1" thickBot="1" x14ac:dyDescent="0.2">
      <c r="A33" s="7"/>
      <c r="B33" s="19"/>
      <c r="C33" s="20"/>
      <c r="D33" s="20"/>
      <c r="E33" s="29"/>
      <c r="F33" s="20"/>
      <c r="G33" s="22"/>
      <c r="H33" s="122"/>
      <c r="I33" s="130"/>
      <c r="J33" s="19"/>
      <c r="K33" s="131"/>
      <c r="L33" s="30"/>
      <c r="M33" s="11"/>
      <c r="N33" s="163"/>
      <c r="O33" s="11"/>
      <c r="P33" s="54" t="s">
        <v>37</v>
      </c>
      <c r="Q33" s="119">
        <f>+Y10</f>
        <v>996</v>
      </c>
      <c r="R33" s="119">
        <f>+Y11</f>
        <v>4800</v>
      </c>
      <c r="S33" s="119">
        <f>+Y8</f>
        <v>5760</v>
      </c>
      <c r="T33" s="10"/>
      <c r="U33" s="10"/>
      <c r="V33" s="91">
        <f>SUM(Q33:U33)</f>
        <v>11556</v>
      </c>
      <c r="W33" s="91">
        <f t="shared" si="6"/>
        <v>9244.8000000000011</v>
      </c>
      <c r="X33" s="91">
        <f>+V33*0.2</f>
        <v>2311.2000000000003</v>
      </c>
      <c r="Y33" s="55"/>
      <c r="Z33" s="146"/>
    </row>
    <row r="34" spans="1:26" ht="9.75" customHeight="1" thickBot="1" x14ac:dyDescent="0.2">
      <c r="A34" s="4"/>
      <c r="B34" s="31" t="s">
        <v>14</v>
      </c>
      <c r="C34" s="32"/>
      <c r="D34" s="32"/>
      <c r="E34" s="34"/>
      <c r="F34" s="32"/>
      <c r="G34" s="32"/>
      <c r="H34" s="106"/>
      <c r="I34" s="123"/>
      <c r="J34" s="31"/>
      <c r="K34" s="127"/>
      <c r="L34" s="35"/>
      <c r="M34" s="7"/>
      <c r="N34" s="146"/>
      <c r="O34" s="11"/>
      <c r="P34" s="93" t="s">
        <v>14</v>
      </c>
      <c r="Q34" s="49"/>
      <c r="R34" s="49"/>
      <c r="S34" s="49"/>
      <c r="T34" s="49"/>
      <c r="U34" s="49"/>
      <c r="V34" s="94">
        <f>SUM(V30:V33)</f>
        <v>90996</v>
      </c>
      <c r="W34" s="94">
        <f t="shared" si="6"/>
        <v>72796.800000000003</v>
      </c>
      <c r="X34" s="94">
        <f t="shared" ref="X34" si="8">+V34*0.2</f>
        <v>18199.2</v>
      </c>
      <c r="Y34" s="95"/>
      <c r="Z34" s="146"/>
    </row>
    <row r="35" spans="1:26" ht="9.75" customHeight="1" thickBot="1" x14ac:dyDescent="0.2">
      <c r="A35" s="2"/>
      <c r="M35" s="8"/>
      <c r="N35" s="146"/>
      <c r="O35" s="8"/>
      <c r="P35" s="5"/>
      <c r="Q35" s="5"/>
      <c r="R35" s="5"/>
      <c r="S35" s="5"/>
      <c r="T35" s="5"/>
      <c r="U35" s="5"/>
      <c r="V35" s="5"/>
      <c r="W35" s="5"/>
      <c r="X35" s="5"/>
      <c r="Y35" s="5"/>
      <c r="Z35" s="6"/>
    </row>
    <row r="36" spans="1:26" ht="9.75" customHeight="1" thickBot="1" x14ac:dyDescent="0.2">
      <c r="A36" s="7"/>
      <c r="B36" s="152" t="s">
        <v>72</v>
      </c>
      <c r="C36" s="32"/>
      <c r="D36" s="32"/>
      <c r="E36" s="34"/>
      <c r="F36" s="32"/>
      <c r="G36" s="32"/>
      <c r="H36" s="106"/>
      <c r="I36" s="123"/>
      <c r="J36" s="23" t="s">
        <v>73</v>
      </c>
      <c r="K36" s="18" t="s">
        <v>74</v>
      </c>
      <c r="L36" s="25" t="s">
        <v>66</v>
      </c>
      <c r="M36" s="8"/>
      <c r="N36" s="146"/>
      <c r="O36" s="8"/>
      <c r="P36" s="3"/>
      <c r="Q36" s="3"/>
      <c r="R36" s="3"/>
      <c r="S36" s="3"/>
      <c r="T36" s="3"/>
      <c r="U36" s="3"/>
      <c r="V36" s="3"/>
      <c r="W36" s="3"/>
      <c r="X36" s="3"/>
      <c r="Y36" s="3"/>
      <c r="Z36" s="145"/>
    </row>
    <row r="37" spans="1:26" ht="9.75" customHeight="1" thickBot="1" x14ac:dyDescent="0.2">
      <c r="A37" s="7"/>
      <c r="B37" s="23" t="s">
        <v>0</v>
      </c>
      <c r="C37" s="123"/>
      <c r="D37" s="123"/>
      <c r="E37" s="123"/>
      <c r="F37" s="123"/>
      <c r="G37" s="123"/>
      <c r="H37" s="123"/>
      <c r="I37" s="123"/>
      <c r="J37" s="19" t="s">
        <v>15</v>
      </c>
      <c r="K37" s="21" t="s">
        <v>15</v>
      </c>
      <c r="L37" s="27"/>
      <c r="M37" s="8"/>
      <c r="N37" s="146"/>
      <c r="O37" s="8"/>
      <c r="P37" s="61" t="s">
        <v>46</v>
      </c>
      <c r="Q37" s="62">
        <v>3000</v>
      </c>
      <c r="R37" s="120" t="s">
        <v>17</v>
      </c>
      <c r="S37" s="62">
        <v>10</v>
      </c>
      <c r="T37" s="62" t="s">
        <v>18</v>
      </c>
      <c r="U37" s="62">
        <f>+S37*Q37</f>
        <v>30000</v>
      </c>
      <c r="V37" s="62" t="s">
        <v>50</v>
      </c>
      <c r="W37" s="9"/>
      <c r="X37" s="9"/>
      <c r="Y37" s="51"/>
      <c r="Z37" s="146"/>
    </row>
    <row r="38" spans="1:26" ht="9.75" customHeight="1" x14ac:dyDescent="0.15">
      <c r="A38" s="7"/>
      <c r="B38" s="23" t="s">
        <v>6</v>
      </c>
      <c r="C38" s="17"/>
      <c r="D38" s="17">
        <v>400</v>
      </c>
      <c r="E38" s="24" t="s">
        <v>65</v>
      </c>
      <c r="F38" s="17"/>
      <c r="G38" s="17"/>
      <c r="H38" s="124"/>
      <c r="I38" s="125"/>
      <c r="J38" s="23">
        <f t="shared" ref="J38:J48" si="9">J6+J23</f>
        <v>48</v>
      </c>
      <c r="K38" s="128">
        <f t="shared" ref="K38:K48" si="10">K6+K23</f>
        <v>881.76</v>
      </c>
      <c r="L38" s="30">
        <f>K38*0.06</f>
        <v>52.9056</v>
      </c>
      <c r="M38" s="8"/>
      <c r="N38" s="164"/>
      <c r="O38" s="8"/>
      <c r="P38" s="52"/>
      <c r="Q38" s="8"/>
      <c r="R38" s="8"/>
      <c r="S38" s="8"/>
      <c r="T38" s="8"/>
      <c r="U38" s="8"/>
      <c r="V38" s="8"/>
      <c r="W38" s="8"/>
      <c r="X38" s="8"/>
      <c r="Y38" s="53"/>
      <c r="Z38" s="146"/>
    </row>
    <row r="39" spans="1:26" ht="9.75" customHeight="1" x14ac:dyDescent="0.15">
      <c r="A39" s="7"/>
      <c r="B39" s="28" t="s">
        <v>6</v>
      </c>
      <c r="C39" s="22"/>
      <c r="D39" s="22">
        <v>200</v>
      </c>
      <c r="E39" s="29" t="s">
        <v>65</v>
      </c>
      <c r="F39" s="22"/>
      <c r="G39" s="22"/>
      <c r="H39" s="121"/>
      <c r="I39" s="126"/>
      <c r="J39" s="28">
        <f t="shared" si="9"/>
        <v>336</v>
      </c>
      <c r="K39" s="129">
        <f t="shared" si="10"/>
        <v>3128.1600000000003</v>
      </c>
      <c r="L39" s="30">
        <f>K39*0.06</f>
        <v>187.68960000000001</v>
      </c>
      <c r="M39" s="8"/>
      <c r="N39" s="146"/>
      <c r="O39" s="8"/>
      <c r="P39" s="61" t="s">
        <v>16</v>
      </c>
      <c r="Q39" s="9" t="s">
        <v>20</v>
      </c>
      <c r="R39" s="9" t="s">
        <v>21</v>
      </c>
      <c r="S39" s="9" t="s">
        <v>22</v>
      </c>
      <c r="T39" s="9" t="s">
        <v>1</v>
      </c>
      <c r="U39" s="9" t="s">
        <v>23</v>
      </c>
      <c r="V39" s="9"/>
      <c r="W39" s="9"/>
      <c r="X39" s="9" t="s">
        <v>29</v>
      </c>
      <c r="Y39" s="97" t="s">
        <v>47</v>
      </c>
      <c r="Z39" s="146"/>
    </row>
    <row r="40" spans="1:26" ht="9.75" customHeight="1" x14ac:dyDescent="0.15">
      <c r="A40" s="7"/>
      <c r="B40" s="28" t="s">
        <v>6</v>
      </c>
      <c r="C40" s="155"/>
      <c r="D40" s="155">
        <v>120</v>
      </c>
      <c r="E40" s="156" t="s">
        <v>65</v>
      </c>
      <c r="F40" s="22"/>
      <c r="G40" s="22"/>
      <c r="H40" s="121"/>
      <c r="I40" s="126"/>
      <c r="J40" s="28">
        <f t="shared" si="9"/>
        <v>848</v>
      </c>
      <c r="K40" s="129">
        <f t="shared" si="10"/>
        <v>4825.12</v>
      </c>
      <c r="L40" s="30">
        <f>K40*0.06</f>
        <v>289.50719999999995</v>
      </c>
      <c r="M40" s="8"/>
      <c r="N40" s="164"/>
      <c r="O40" s="8"/>
      <c r="P40" s="54"/>
      <c r="Q40" s="10" t="s">
        <v>25</v>
      </c>
      <c r="R40" s="10" t="s">
        <v>24</v>
      </c>
      <c r="S40" s="10" t="s">
        <v>26</v>
      </c>
      <c r="T40" s="10" t="s">
        <v>27</v>
      </c>
      <c r="U40" s="10" t="s">
        <v>28</v>
      </c>
      <c r="V40" s="10"/>
      <c r="W40" s="10"/>
      <c r="X40" s="10" t="s">
        <v>84</v>
      </c>
      <c r="Y40" s="66" t="s">
        <v>48</v>
      </c>
      <c r="Z40" s="146"/>
    </row>
    <row r="41" spans="1:26" ht="9.75" customHeight="1" x14ac:dyDescent="0.15">
      <c r="A41" s="7"/>
      <c r="B41" s="28" t="s">
        <v>6</v>
      </c>
      <c r="C41" s="155"/>
      <c r="D41" s="155">
        <v>80</v>
      </c>
      <c r="E41" s="156" t="s">
        <v>65</v>
      </c>
      <c r="F41" s="22"/>
      <c r="G41" s="22"/>
      <c r="H41" s="121"/>
      <c r="I41" s="126"/>
      <c r="J41" s="28">
        <f t="shared" si="9"/>
        <v>196</v>
      </c>
      <c r="K41" s="129">
        <f t="shared" si="10"/>
        <v>760.48</v>
      </c>
      <c r="L41" s="30">
        <f>K41*0.06</f>
        <v>45.628799999999998</v>
      </c>
      <c r="M41" s="8"/>
      <c r="N41" s="164"/>
      <c r="O41" s="8"/>
      <c r="P41" s="63" t="s">
        <v>31</v>
      </c>
      <c r="Q41" s="56">
        <v>0.9</v>
      </c>
      <c r="R41" s="13">
        <f>+Q41*Q37</f>
        <v>2700</v>
      </c>
      <c r="S41" s="13">
        <v>2.5</v>
      </c>
      <c r="T41" s="13">
        <f>+R41/S41</f>
        <v>1080</v>
      </c>
      <c r="U41" s="13">
        <v>1569</v>
      </c>
      <c r="V41" s="13"/>
      <c r="W41" s="13"/>
      <c r="X41" s="13">
        <f>+T41*2</f>
        <v>2160</v>
      </c>
      <c r="Y41" s="57">
        <f>+X41*S37</f>
        <v>21600</v>
      </c>
      <c r="Z41" s="146"/>
    </row>
    <row r="42" spans="1:26" ht="9.75" customHeight="1" x14ac:dyDescent="0.15">
      <c r="A42" s="7"/>
      <c r="B42" s="28" t="s">
        <v>7</v>
      </c>
      <c r="C42" s="22"/>
      <c r="D42" s="22">
        <v>74</v>
      </c>
      <c r="E42" s="29" t="s">
        <v>65</v>
      </c>
      <c r="F42" s="22"/>
      <c r="G42" s="22"/>
      <c r="H42" s="121"/>
      <c r="I42" s="126"/>
      <c r="J42" s="28">
        <f t="shared" si="9"/>
        <v>338</v>
      </c>
      <c r="K42" s="129">
        <f t="shared" si="10"/>
        <v>1311.44</v>
      </c>
      <c r="L42" s="30">
        <f>K42*0.06</f>
        <v>78.686400000000006</v>
      </c>
      <c r="M42" s="8"/>
      <c r="N42" s="164"/>
      <c r="O42" s="8"/>
      <c r="P42" s="54" t="s">
        <v>61</v>
      </c>
      <c r="Q42" s="98">
        <v>0.1</v>
      </c>
      <c r="R42" s="10">
        <f>+Q42*Q37</f>
        <v>300</v>
      </c>
      <c r="S42" s="10"/>
      <c r="T42" s="10"/>
      <c r="U42" s="10"/>
      <c r="V42" s="10"/>
      <c r="W42" s="10"/>
      <c r="X42" s="10"/>
      <c r="Y42" s="92"/>
      <c r="Z42" s="146"/>
    </row>
    <row r="43" spans="1:26" ht="9.75" customHeight="1" x14ac:dyDescent="0.15">
      <c r="A43" s="7"/>
      <c r="B43" s="28" t="s">
        <v>8</v>
      </c>
      <c r="C43" s="22"/>
      <c r="D43" s="22">
        <v>14</v>
      </c>
      <c r="E43" s="29" t="s">
        <v>65</v>
      </c>
      <c r="F43" s="22"/>
      <c r="G43" s="22"/>
      <c r="H43" s="121"/>
      <c r="I43" s="126"/>
      <c r="J43" s="28">
        <f t="shared" si="9"/>
        <v>1903.9999999999998</v>
      </c>
      <c r="K43" s="129">
        <f t="shared" si="10"/>
        <v>2246.7199999999998</v>
      </c>
      <c r="L43" s="30"/>
      <c r="M43" s="8"/>
      <c r="N43" s="164"/>
      <c r="O43" s="8"/>
      <c r="P43" s="52"/>
      <c r="Q43" s="8"/>
      <c r="R43" s="8"/>
      <c r="S43" s="8"/>
      <c r="T43" s="8"/>
      <c r="U43" s="8"/>
      <c r="V43" s="8"/>
      <c r="W43" s="8"/>
      <c r="X43" s="8"/>
      <c r="Y43" s="53"/>
      <c r="Z43" s="146"/>
    </row>
    <row r="44" spans="1:26" ht="9.75" customHeight="1" x14ac:dyDescent="0.15">
      <c r="A44" s="7"/>
      <c r="B44" s="28" t="s">
        <v>9</v>
      </c>
      <c r="C44" s="22"/>
      <c r="D44" s="22">
        <v>26</v>
      </c>
      <c r="E44" s="29" t="s">
        <v>65</v>
      </c>
      <c r="F44" s="22"/>
      <c r="G44" s="22"/>
      <c r="H44" s="121"/>
      <c r="I44" s="126"/>
      <c r="J44" s="28">
        <f t="shared" si="9"/>
        <v>1014</v>
      </c>
      <c r="K44" s="129">
        <f t="shared" si="10"/>
        <v>2098.9799999999996</v>
      </c>
      <c r="L44" s="30"/>
      <c r="M44" s="8"/>
      <c r="N44" s="164"/>
      <c r="O44" s="8"/>
      <c r="P44" s="61" t="s">
        <v>49</v>
      </c>
      <c r="Q44" s="9"/>
      <c r="R44" s="9"/>
      <c r="S44" s="9"/>
      <c r="T44" s="9"/>
      <c r="U44" s="9"/>
      <c r="V44" s="9"/>
      <c r="W44" s="9"/>
      <c r="X44" s="38" t="s">
        <v>85</v>
      </c>
      <c r="Y44" s="97" t="s">
        <v>47</v>
      </c>
      <c r="Z44" s="146"/>
    </row>
    <row r="45" spans="1:26" ht="9.75" customHeight="1" x14ac:dyDescent="0.15">
      <c r="A45" s="7"/>
      <c r="B45" s="28" t="s">
        <v>10</v>
      </c>
      <c r="C45" s="22"/>
      <c r="D45" s="22">
        <v>50</v>
      </c>
      <c r="E45" s="29" t="s">
        <v>65</v>
      </c>
      <c r="F45" s="22"/>
      <c r="G45" s="22"/>
      <c r="H45" s="121"/>
      <c r="I45" s="126"/>
      <c r="J45" s="28">
        <f t="shared" si="9"/>
        <v>676</v>
      </c>
      <c r="K45" s="129">
        <f t="shared" si="10"/>
        <v>2007.72</v>
      </c>
      <c r="L45" s="30"/>
      <c r="M45" s="8"/>
      <c r="N45" s="146"/>
      <c r="O45" s="8"/>
      <c r="P45" s="54"/>
      <c r="Q45" s="10"/>
      <c r="R45" s="10"/>
      <c r="S45" s="10"/>
      <c r="T45" s="10"/>
      <c r="U45" s="10"/>
      <c r="V45" s="10"/>
      <c r="W45" s="10"/>
      <c r="X45" s="40"/>
      <c r="Y45" s="66" t="s">
        <v>48</v>
      </c>
      <c r="Z45" s="146"/>
    </row>
    <row r="46" spans="1:26" ht="9.75" customHeight="1" x14ac:dyDescent="0.15">
      <c r="A46" s="7"/>
      <c r="B46" s="28" t="s">
        <v>11</v>
      </c>
      <c r="C46" s="22"/>
      <c r="D46" s="22">
        <v>11</v>
      </c>
      <c r="E46" s="29" t="s">
        <v>65</v>
      </c>
      <c r="F46" s="22"/>
      <c r="G46" s="22"/>
      <c r="H46" s="121"/>
      <c r="I46" s="126"/>
      <c r="J46" s="28">
        <f t="shared" si="9"/>
        <v>0</v>
      </c>
      <c r="K46" s="129">
        <f t="shared" si="10"/>
        <v>0</v>
      </c>
      <c r="L46" s="30"/>
      <c r="M46" s="8"/>
      <c r="N46" s="146"/>
      <c r="O46" s="8"/>
      <c r="P46" s="52" t="s">
        <v>45</v>
      </c>
      <c r="Q46" s="8"/>
      <c r="R46" s="8"/>
      <c r="S46" s="8"/>
      <c r="T46" s="8"/>
      <c r="U46" s="8"/>
      <c r="V46" s="8"/>
      <c r="W46" s="8"/>
      <c r="X46" s="36">
        <v>40</v>
      </c>
      <c r="Y46" s="89">
        <f>+X46*S37</f>
        <v>400</v>
      </c>
      <c r="Z46" s="146"/>
    </row>
    <row r="47" spans="1:26" ht="9.75" customHeight="1" x14ac:dyDescent="0.15">
      <c r="A47" s="7"/>
      <c r="B47" s="28" t="s">
        <v>12</v>
      </c>
      <c r="C47" s="22"/>
      <c r="D47" s="22">
        <v>15</v>
      </c>
      <c r="E47" s="29" t="s">
        <v>65</v>
      </c>
      <c r="F47" s="22"/>
      <c r="G47" s="22"/>
      <c r="H47" s="121"/>
      <c r="I47" s="126"/>
      <c r="J47" s="28">
        <f t="shared" si="9"/>
        <v>0</v>
      </c>
      <c r="K47" s="129">
        <f t="shared" si="10"/>
        <v>0</v>
      </c>
      <c r="L47" s="30"/>
      <c r="M47" s="8"/>
      <c r="N47" s="146"/>
      <c r="O47" s="8"/>
      <c r="P47" s="54" t="s">
        <v>88</v>
      </c>
      <c r="Q47" s="10"/>
      <c r="R47" s="10"/>
      <c r="S47" s="10"/>
      <c r="T47" s="10"/>
      <c r="U47" s="10"/>
      <c r="V47" s="10"/>
      <c r="W47" s="10"/>
      <c r="X47" s="40">
        <v>2</v>
      </c>
      <c r="Y47" s="90">
        <f>+X47*S37</f>
        <v>20</v>
      </c>
      <c r="Z47" s="146"/>
    </row>
    <row r="48" spans="1:26" ht="9.75" customHeight="1" thickBot="1" x14ac:dyDescent="0.2">
      <c r="A48" s="7"/>
      <c r="B48" s="19" t="s">
        <v>13</v>
      </c>
      <c r="C48" s="20"/>
      <c r="D48" s="20">
        <v>77</v>
      </c>
      <c r="E48" s="26" t="s">
        <v>65</v>
      </c>
      <c r="F48" s="20"/>
      <c r="G48" s="20"/>
      <c r="H48" s="122"/>
      <c r="I48" s="130"/>
      <c r="J48" s="19">
        <f t="shared" si="9"/>
        <v>184</v>
      </c>
      <c r="K48" s="131">
        <f t="shared" si="10"/>
        <v>713.92</v>
      </c>
      <c r="L48" s="153">
        <f>K48*0.06</f>
        <v>42.835199999999993</v>
      </c>
      <c r="M48" s="8"/>
      <c r="N48" s="146"/>
      <c r="O48" s="8"/>
      <c r="P48" s="54" t="s">
        <v>14</v>
      </c>
      <c r="Q48" s="10"/>
      <c r="R48" s="10"/>
      <c r="S48" s="10"/>
      <c r="T48" s="10"/>
      <c r="U48" s="10"/>
      <c r="V48" s="10"/>
      <c r="W48" s="10"/>
      <c r="X48" s="40"/>
      <c r="Y48" s="86">
        <f>SUM(Y46:Y47)</f>
        <v>420</v>
      </c>
      <c r="Z48" s="146"/>
    </row>
    <row r="49" spans="1:27" ht="9.75" customHeight="1" thickBot="1" x14ac:dyDescent="0.2">
      <c r="A49" s="7"/>
      <c r="B49" s="8"/>
      <c r="C49" s="8"/>
      <c r="D49" s="8"/>
      <c r="E49" s="8"/>
      <c r="F49" s="8"/>
      <c r="G49" s="8"/>
      <c r="H49" s="8"/>
      <c r="I49" s="8"/>
      <c r="J49" s="11"/>
      <c r="K49" s="138"/>
      <c r="L49" s="142"/>
      <c r="M49" s="8"/>
      <c r="N49" s="146"/>
      <c r="O49" s="8"/>
      <c r="P49" s="63"/>
      <c r="Q49" s="13"/>
      <c r="R49" s="13"/>
      <c r="S49" s="13"/>
      <c r="T49" s="13"/>
      <c r="U49" s="13"/>
      <c r="V49" s="13"/>
      <c r="W49" s="13"/>
      <c r="X49" s="13"/>
      <c r="Y49" s="85"/>
      <c r="Z49" s="146"/>
      <c r="AA49" s="8"/>
    </row>
    <row r="50" spans="1:27" ht="9.75" customHeight="1" x14ac:dyDescent="0.15">
      <c r="A50" s="7"/>
      <c r="B50" s="15" t="s">
        <v>67</v>
      </c>
      <c r="C50" s="16"/>
      <c r="D50" s="16"/>
      <c r="E50" s="16"/>
      <c r="F50" s="17"/>
      <c r="G50" s="17"/>
      <c r="H50" s="17"/>
      <c r="I50" s="17"/>
      <c r="J50" s="17"/>
      <c r="K50" s="144"/>
      <c r="L50" s="160"/>
      <c r="M50" s="8"/>
      <c r="N50" s="146"/>
      <c r="O50" s="8"/>
      <c r="P50" s="100" t="s">
        <v>35</v>
      </c>
      <c r="Q50" s="10"/>
      <c r="R50" s="10"/>
      <c r="S50" s="10"/>
      <c r="T50" s="10"/>
      <c r="U50" s="10"/>
      <c r="V50" s="10"/>
      <c r="W50" s="10"/>
      <c r="X50" s="10"/>
      <c r="Y50" s="55"/>
      <c r="Z50" s="146"/>
    </row>
    <row r="51" spans="1:27" s="8" customFormat="1" ht="9.75" customHeight="1" thickBot="1" x14ac:dyDescent="0.2">
      <c r="A51" s="7"/>
      <c r="B51" s="19"/>
      <c r="C51" s="20"/>
      <c r="D51" s="20"/>
      <c r="E51" s="20"/>
      <c r="F51" s="20"/>
      <c r="G51" s="20"/>
      <c r="H51" s="20"/>
      <c r="I51" s="20"/>
      <c r="J51" s="20"/>
      <c r="K51" s="21"/>
      <c r="L51" s="132"/>
      <c r="N51" s="146"/>
      <c r="P51" s="52" t="s">
        <v>31</v>
      </c>
      <c r="Q51" s="175">
        <f>+Y41</f>
        <v>21600</v>
      </c>
      <c r="R51" s="175">
        <f>+Y46</f>
        <v>400</v>
      </c>
      <c r="S51" s="11"/>
      <c r="T51" s="11"/>
      <c r="U51" s="11"/>
      <c r="V51" s="58">
        <f>SUM(Q51:U51)</f>
        <v>22000</v>
      </c>
      <c r="W51" s="50"/>
      <c r="Y51" s="53"/>
      <c r="Z51" s="146"/>
    </row>
    <row r="52" spans="1:27" ht="9.75" customHeight="1" x14ac:dyDescent="0.15">
      <c r="A52" s="7"/>
      <c r="B52" s="23" t="s">
        <v>0</v>
      </c>
      <c r="C52" s="17" t="s">
        <v>1</v>
      </c>
      <c r="D52" s="17" t="s">
        <v>2</v>
      </c>
      <c r="E52" s="24" t="s">
        <v>3</v>
      </c>
      <c r="F52" s="17" t="s">
        <v>79</v>
      </c>
      <c r="G52" s="17"/>
      <c r="H52" s="17" t="s">
        <v>62</v>
      </c>
      <c r="I52" s="17" t="s">
        <v>64</v>
      </c>
      <c r="J52" s="23" t="s">
        <v>90</v>
      </c>
      <c r="K52" s="18" t="s">
        <v>91</v>
      </c>
      <c r="L52" s="25" t="s">
        <v>66</v>
      </c>
      <c r="M52" s="8"/>
      <c r="N52" s="146"/>
      <c r="O52" s="8"/>
      <c r="P52" s="54" t="s">
        <v>33</v>
      </c>
      <c r="Q52" s="117">
        <f>+Y47</f>
        <v>20</v>
      </c>
      <c r="R52" s="14"/>
      <c r="S52" s="14"/>
      <c r="T52" s="14"/>
      <c r="U52" s="14"/>
      <c r="V52" s="59">
        <f>SUM(Q52:U52)</f>
        <v>20</v>
      </c>
      <c r="W52" s="54"/>
      <c r="X52" s="10"/>
      <c r="Y52" s="55"/>
      <c r="Z52" s="146"/>
    </row>
    <row r="53" spans="1:27" ht="9.75" customHeight="1" thickBot="1" x14ac:dyDescent="0.2">
      <c r="A53" s="7"/>
      <c r="B53" s="19"/>
      <c r="C53" s="20"/>
      <c r="D53" s="20" t="s">
        <v>4</v>
      </c>
      <c r="E53" s="26" t="s">
        <v>5</v>
      </c>
      <c r="F53" s="20" t="s">
        <v>78</v>
      </c>
      <c r="G53" s="20"/>
      <c r="H53" s="20" t="s">
        <v>63</v>
      </c>
      <c r="I53" s="20" t="s">
        <v>30</v>
      </c>
      <c r="J53" s="19" t="s">
        <v>15</v>
      </c>
      <c r="K53" s="21" t="s">
        <v>15</v>
      </c>
      <c r="L53" s="132"/>
      <c r="M53" s="8"/>
      <c r="N53" s="146"/>
      <c r="O53" s="8"/>
      <c r="P53" s="52" t="s">
        <v>14</v>
      </c>
      <c r="Q53" s="11"/>
      <c r="R53" s="11"/>
      <c r="S53" s="11"/>
      <c r="T53" s="11"/>
      <c r="U53" s="11"/>
      <c r="V53" s="96">
        <f>SUM(V51:V52)</f>
        <v>22020</v>
      </c>
      <c r="W53" s="52"/>
      <c r="X53" s="8"/>
      <c r="Y53" s="53"/>
      <c r="Z53" s="146"/>
    </row>
    <row r="54" spans="1:27" ht="9.75" customHeight="1" x14ac:dyDescent="0.15">
      <c r="A54" s="7"/>
      <c r="B54" s="28"/>
      <c r="C54" s="22"/>
      <c r="D54" s="22"/>
      <c r="E54" s="29"/>
      <c r="F54" s="22"/>
      <c r="G54" s="22"/>
      <c r="H54" s="22"/>
      <c r="I54" s="133"/>
      <c r="J54" s="135"/>
      <c r="K54" s="129"/>
      <c r="L54" s="30"/>
      <c r="M54" s="8"/>
      <c r="N54" s="146"/>
      <c r="O54" s="8"/>
      <c r="P54" s="63"/>
      <c r="Q54" s="49"/>
      <c r="R54" s="49"/>
      <c r="S54" s="49"/>
      <c r="T54" s="49"/>
      <c r="U54" s="49"/>
      <c r="V54" s="13"/>
      <c r="W54" s="13"/>
      <c r="X54" s="13"/>
      <c r="Y54" s="85"/>
      <c r="Z54" s="146"/>
    </row>
    <row r="55" spans="1:27" ht="9.75" customHeight="1" x14ac:dyDescent="0.15">
      <c r="A55" s="7"/>
      <c r="B55" s="28" t="s">
        <v>7</v>
      </c>
      <c r="C55" s="22">
        <v>1</v>
      </c>
      <c r="D55" s="22">
        <v>74</v>
      </c>
      <c r="E55" s="29" t="s">
        <v>75</v>
      </c>
      <c r="F55" s="22">
        <v>8</v>
      </c>
      <c r="G55" s="22"/>
      <c r="H55" s="22">
        <v>8.25</v>
      </c>
      <c r="I55" s="133">
        <f t="shared" ref="I55:I58" si="11">+H55*F55</f>
        <v>66</v>
      </c>
      <c r="J55" s="135">
        <f>+F55*S37</f>
        <v>80</v>
      </c>
      <c r="K55" s="129">
        <f>+I55*S37</f>
        <v>660</v>
      </c>
      <c r="L55" s="30"/>
      <c r="M55" s="8"/>
      <c r="N55" s="146"/>
      <c r="O55" s="8"/>
      <c r="P55" s="100" t="s">
        <v>42</v>
      </c>
      <c r="Q55" s="14"/>
      <c r="R55" s="14"/>
      <c r="S55" s="14"/>
      <c r="T55" s="14"/>
      <c r="U55" s="14"/>
      <c r="V55" s="101" t="s">
        <v>53</v>
      </c>
      <c r="W55" s="101" t="s">
        <v>52</v>
      </c>
      <c r="X55" s="101" t="s">
        <v>54</v>
      </c>
      <c r="Y55" s="66"/>
      <c r="Z55" s="146"/>
    </row>
    <row r="56" spans="1:27" ht="9.75" customHeight="1" x14ac:dyDescent="0.15">
      <c r="A56" s="7"/>
      <c r="B56" s="28" t="s">
        <v>8</v>
      </c>
      <c r="C56" s="22">
        <v>1</v>
      </c>
      <c r="D56" s="22">
        <v>14</v>
      </c>
      <c r="E56" s="29" t="s">
        <v>75</v>
      </c>
      <c r="F56" s="22">
        <v>12</v>
      </c>
      <c r="G56" s="22"/>
      <c r="H56" s="22">
        <v>2.5</v>
      </c>
      <c r="I56" s="133">
        <f t="shared" si="11"/>
        <v>30</v>
      </c>
      <c r="J56" s="135">
        <f>+F56*S37</f>
        <v>120</v>
      </c>
      <c r="K56" s="129">
        <f>+I56*S37</f>
        <v>300</v>
      </c>
      <c r="L56" s="30"/>
      <c r="M56" s="8"/>
      <c r="N56" s="146"/>
      <c r="O56" s="8"/>
      <c r="P56" s="52" t="s">
        <v>31</v>
      </c>
      <c r="Q56" s="175">
        <f>+Y41</f>
        <v>21600</v>
      </c>
      <c r="R56" s="175">
        <f>+Y46</f>
        <v>400</v>
      </c>
      <c r="S56" s="11"/>
      <c r="T56" s="11"/>
      <c r="U56" s="11"/>
      <c r="V56" s="60">
        <f>+R56+Q56</f>
        <v>22000</v>
      </c>
      <c r="W56" s="60">
        <f>+V56*0.8</f>
        <v>17600</v>
      </c>
      <c r="X56" s="60">
        <f>+V56*0.2</f>
        <v>4400</v>
      </c>
      <c r="Y56" s="96"/>
      <c r="Z56" s="146"/>
    </row>
    <row r="57" spans="1:27" ht="9.75" customHeight="1" x14ac:dyDescent="0.15">
      <c r="A57" s="7"/>
      <c r="B57" s="28" t="s">
        <v>9</v>
      </c>
      <c r="C57" s="22">
        <v>1</v>
      </c>
      <c r="D57" s="22">
        <v>26</v>
      </c>
      <c r="E57" s="29" t="s">
        <v>75</v>
      </c>
      <c r="F57" s="22">
        <v>8</v>
      </c>
      <c r="G57" s="22"/>
      <c r="H57" s="22">
        <v>4.4000000000000004</v>
      </c>
      <c r="I57" s="133">
        <f t="shared" si="11"/>
        <v>35.200000000000003</v>
      </c>
      <c r="J57" s="135">
        <f>+F57*S37</f>
        <v>80</v>
      </c>
      <c r="K57" s="129">
        <f>+I57*S37</f>
        <v>352</v>
      </c>
      <c r="L57" s="30"/>
      <c r="M57" s="8"/>
      <c r="N57" s="146"/>
      <c r="O57" s="8"/>
      <c r="P57" s="52" t="s">
        <v>33</v>
      </c>
      <c r="Q57" s="118">
        <f>+Y47</f>
        <v>20</v>
      </c>
      <c r="R57" s="11"/>
      <c r="S57" s="11"/>
      <c r="T57" s="11"/>
      <c r="U57" s="11"/>
      <c r="V57" s="143">
        <f>+Q57</f>
        <v>20</v>
      </c>
      <c r="W57" s="143">
        <f>+V57*0.8</f>
        <v>16</v>
      </c>
      <c r="X57" s="143">
        <f>+V57*0.2</f>
        <v>4</v>
      </c>
      <c r="Y57" s="96"/>
      <c r="Z57" s="146"/>
    </row>
    <row r="58" spans="1:27" ht="9.75" customHeight="1" thickBot="1" x14ac:dyDescent="0.2">
      <c r="A58" s="4"/>
      <c r="B58" s="28" t="s">
        <v>10</v>
      </c>
      <c r="C58" s="22">
        <v>1</v>
      </c>
      <c r="D58" s="22">
        <v>50</v>
      </c>
      <c r="E58" s="29" t="s">
        <v>75</v>
      </c>
      <c r="F58" s="22">
        <v>8</v>
      </c>
      <c r="G58" s="22"/>
      <c r="H58" s="22">
        <v>6.32</v>
      </c>
      <c r="I58" s="133">
        <f t="shared" si="11"/>
        <v>50.56</v>
      </c>
      <c r="J58" s="135">
        <f>+F58*S37</f>
        <v>80</v>
      </c>
      <c r="K58" s="129">
        <f>+I58*S37</f>
        <v>505.6</v>
      </c>
      <c r="L58" s="30"/>
      <c r="M58" s="7"/>
      <c r="N58" s="146"/>
      <c r="O58" s="8"/>
      <c r="P58" s="63" t="s">
        <v>14</v>
      </c>
      <c r="Q58" s="49"/>
      <c r="R58" s="49"/>
      <c r="S58" s="49"/>
      <c r="T58" s="49"/>
      <c r="U58" s="49"/>
      <c r="V58" s="13">
        <f>SUM(V56:V57)</f>
        <v>22020</v>
      </c>
      <c r="W58" s="13">
        <f>SUM(W56:W57)</f>
        <v>17616</v>
      </c>
      <c r="X58" s="13">
        <f>SUM(X56:X57)</f>
        <v>4404</v>
      </c>
      <c r="Y58" s="85"/>
      <c r="Z58" s="146"/>
    </row>
    <row r="59" spans="1:27" ht="9.75" customHeight="1" thickBot="1" x14ac:dyDescent="0.2">
      <c r="B59" s="31" t="s">
        <v>14</v>
      </c>
      <c r="C59" s="32"/>
      <c r="D59" s="32"/>
      <c r="E59" s="33"/>
      <c r="F59" s="32"/>
      <c r="G59" s="32"/>
      <c r="H59" s="32"/>
      <c r="I59" s="32"/>
      <c r="J59" s="136"/>
      <c r="K59" s="35"/>
      <c r="L59" s="134"/>
      <c r="O59" s="5"/>
      <c r="P59" s="5"/>
      <c r="Q59" s="147"/>
      <c r="R59" s="147"/>
      <c r="S59" s="147"/>
      <c r="T59" s="147"/>
      <c r="U59" s="147"/>
      <c r="V59" s="5"/>
      <c r="W59" s="5"/>
      <c r="X59" s="5"/>
      <c r="Y59" s="5"/>
      <c r="Z59" s="6"/>
    </row>
    <row r="60" spans="1:27" ht="9.75" customHeight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145"/>
    </row>
    <row r="61" spans="1:27" ht="9.75" customHeight="1" x14ac:dyDescent="0.15">
      <c r="O61" s="7"/>
      <c r="P61" s="61" t="s">
        <v>83</v>
      </c>
      <c r="Q61" s="62"/>
      <c r="R61" s="9"/>
      <c r="S61" s="9"/>
      <c r="T61" s="9"/>
      <c r="U61" s="9"/>
      <c r="V61" s="9"/>
      <c r="W61" s="9"/>
      <c r="X61" s="9"/>
      <c r="Y61" s="51"/>
      <c r="Z61" s="146"/>
    </row>
    <row r="62" spans="1:27" ht="9.75" customHeight="1" x14ac:dyDescent="0.15">
      <c r="O62" s="7"/>
      <c r="P62" s="54"/>
      <c r="Q62" s="10"/>
      <c r="R62" s="10"/>
      <c r="S62" s="10"/>
      <c r="T62" s="10"/>
      <c r="U62" s="10"/>
      <c r="V62" s="10"/>
      <c r="W62" s="10"/>
      <c r="X62" s="10"/>
      <c r="Y62" s="55"/>
      <c r="Z62" s="146"/>
    </row>
    <row r="63" spans="1:27" ht="9.75" customHeight="1" x14ac:dyDescent="0.15">
      <c r="O63" s="7"/>
      <c r="P63" s="84" t="s">
        <v>35</v>
      </c>
      <c r="Q63" s="13"/>
      <c r="R63" s="13"/>
      <c r="S63" s="13"/>
      <c r="T63" s="13"/>
      <c r="U63" s="13"/>
      <c r="V63" s="13"/>
      <c r="W63" s="13"/>
      <c r="X63" s="13"/>
      <c r="Y63" s="70"/>
      <c r="Z63" s="146"/>
    </row>
    <row r="64" spans="1:27" ht="9.75" customHeight="1" x14ac:dyDescent="0.15">
      <c r="O64" s="7"/>
      <c r="P64" s="50" t="s">
        <v>31</v>
      </c>
      <c r="Q64" s="9" t="s">
        <v>51</v>
      </c>
      <c r="R64" s="48"/>
      <c r="S64" s="9"/>
      <c r="T64" s="58">
        <f>+V51+V24</f>
        <v>65656</v>
      </c>
      <c r="U64" s="48"/>
      <c r="V64" s="48"/>
      <c r="W64" s="48"/>
      <c r="X64" s="48"/>
      <c r="Y64" s="67"/>
      <c r="Z64" s="146"/>
    </row>
    <row r="65" spans="2:26" ht="9.75" customHeight="1" x14ac:dyDescent="0.15">
      <c r="O65" s="7"/>
      <c r="P65" s="52" t="s">
        <v>32</v>
      </c>
      <c r="Q65" s="8" t="s">
        <v>51</v>
      </c>
      <c r="R65" s="8"/>
      <c r="S65" s="8"/>
      <c r="T65" s="64">
        <f>+V25</f>
        <v>0</v>
      </c>
      <c r="U65" s="11"/>
      <c r="V65" s="11"/>
      <c r="W65" s="11"/>
      <c r="X65" s="11"/>
      <c r="Y65" s="68"/>
      <c r="Z65" s="146"/>
    </row>
    <row r="66" spans="2:26" ht="9.75" customHeight="1" x14ac:dyDescent="0.15">
      <c r="O66" s="7"/>
      <c r="P66" s="54" t="s">
        <v>33</v>
      </c>
      <c r="Q66" s="10" t="s">
        <v>51</v>
      </c>
      <c r="R66" s="10"/>
      <c r="S66" s="10"/>
      <c r="T66" s="65">
        <f>+V52+V26</f>
        <v>1460</v>
      </c>
      <c r="U66" s="14"/>
      <c r="V66" s="14"/>
      <c r="W66" s="14"/>
      <c r="X66" s="14"/>
      <c r="Y66" s="68"/>
      <c r="Z66" s="146"/>
    </row>
    <row r="67" spans="2:26" ht="9.75" customHeight="1" x14ac:dyDescent="0.15">
      <c r="O67" s="7"/>
      <c r="P67" s="50" t="s">
        <v>14</v>
      </c>
      <c r="Q67" s="9"/>
      <c r="R67" s="9"/>
      <c r="S67" s="9"/>
      <c r="T67" s="96">
        <f>+V53+V27</f>
        <v>67116</v>
      </c>
      <c r="U67" s="9"/>
      <c r="V67" s="9"/>
      <c r="W67" s="9"/>
      <c r="X67" s="9"/>
      <c r="Y67" s="148"/>
      <c r="Z67" s="146"/>
    </row>
    <row r="68" spans="2:26" ht="9.75" customHeight="1" x14ac:dyDescent="0.15">
      <c r="O68" s="7"/>
      <c r="P68" s="63"/>
      <c r="Q68" s="13"/>
      <c r="R68" s="13"/>
      <c r="S68" s="13"/>
      <c r="T68" s="13"/>
      <c r="U68" s="13"/>
      <c r="V68" s="13"/>
      <c r="W68" s="13"/>
      <c r="X68" s="13"/>
      <c r="Y68" s="69"/>
      <c r="Z68" s="146"/>
    </row>
    <row r="69" spans="2:26" ht="9.75" customHeight="1" x14ac:dyDescent="0.15">
      <c r="O69" s="7"/>
      <c r="P69" s="100" t="s">
        <v>36</v>
      </c>
      <c r="Q69" s="10"/>
      <c r="R69" s="10"/>
      <c r="S69" s="10"/>
      <c r="T69" s="86" t="s">
        <v>41</v>
      </c>
      <c r="U69" s="86" t="s">
        <v>52</v>
      </c>
      <c r="V69" s="40"/>
      <c r="W69" s="86" t="s">
        <v>54</v>
      </c>
      <c r="X69" s="40"/>
      <c r="Y69" s="99"/>
      <c r="Z69" s="146"/>
    </row>
    <row r="70" spans="2:26" ht="9.75" customHeight="1" x14ac:dyDescent="0.15">
      <c r="O70" s="7"/>
      <c r="P70" s="50" t="s">
        <v>31</v>
      </c>
      <c r="Q70" s="9"/>
      <c r="R70" s="9"/>
      <c r="S70" s="9"/>
      <c r="T70" s="74">
        <f>+V56+V30</f>
        <v>100000</v>
      </c>
      <c r="U70" s="76">
        <f>+W56+W30</f>
        <v>80000</v>
      </c>
      <c r="V70" s="72"/>
      <c r="W70" s="76">
        <f>+X56+X30</f>
        <v>20000</v>
      </c>
      <c r="X70" s="72"/>
      <c r="Y70" s="68"/>
      <c r="Z70" s="146"/>
    </row>
    <row r="71" spans="2:26" ht="9.75" customHeight="1" x14ac:dyDescent="0.1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O71" s="7"/>
      <c r="P71" s="52" t="s">
        <v>32</v>
      </c>
      <c r="Q71" s="8"/>
      <c r="R71" s="8"/>
      <c r="S71" s="8"/>
      <c r="T71" s="64">
        <f>V31</f>
        <v>0</v>
      </c>
      <c r="U71" s="77">
        <f>+W31</f>
        <v>0</v>
      </c>
      <c r="V71" s="47"/>
      <c r="W71" s="77">
        <f>+X31</f>
        <v>0</v>
      </c>
      <c r="X71" s="47"/>
      <c r="Y71" s="68"/>
      <c r="Z71" s="146"/>
    </row>
    <row r="72" spans="2:26" ht="9.75" customHeight="1" x14ac:dyDescent="0.15">
      <c r="O72" s="7"/>
      <c r="P72" s="52" t="s">
        <v>33</v>
      </c>
      <c r="Q72" s="8"/>
      <c r="R72" s="8"/>
      <c r="S72" s="8"/>
      <c r="T72" s="65">
        <f>+V57+V32</f>
        <v>1460</v>
      </c>
      <c r="U72" s="78">
        <f>+W57+W32</f>
        <v>1168</v>
      </c>
      <c r="V72" s="47"/>
      <c r="W72" s="78">
        <f>+X57+X32</f>
        <v>292</v>
      </c>
      <c r="X72" s="47"/>
      <c r="Y72" s="68"/>
      <c r="Z72" s="146"/>
    </row>
    <row r="73" spans="2:26" ht="9.75" customHeight="1" x14ac:dyDescent="0.15">
      <c r="O73" s="7"/>
      <c r="P73" s="52" t="s">
        <v>37</v>
      </c>
      <c r="Q73" s="8"/>
      <c r="R73" s="8"/>
      <c r="S73" s="8"/>
      <c r="T73" s="75">
        <f>+V33</f>
        <v>11556</v>
      </c>
      <c r="U73" s="79">
        <f>+W33</f>
        <v>9244.8000000000011</v>
      </c>
      <c r="V73" s="47"/>
      <c r="W73" s="79">
        <f>+X33</f>
        <v>2311.2000000000003</v>
      </c>
      <c r="X73" s="47"/>
      <c r="Y73" s="68"/>
      <c r="Z73" s="146"/>
    </row>
    <row r="74" spans="2:26" ht="9.75" customHeight="1" x14ac:dyDescent="0.15">
      <c r="O74" s="7"/>
      <c r="P74" s="50" t="s">
        <v>14</v>
      </c>
      <c r="Q74" s="9"/>
      <c r="R74" s="9"/>
      <c r="S74" s="9"/>
      <c r="T74" s="97">
        <f t="shared" ref="T74:W74" si="12">SUM(T70:T73)</f>
        <v>113016</v>
      </c>
      <c r="U74" s="103">
        <f t="shared" si="12"/>
        <v>90412.800000000003</v>
      </c>
      <c r="V74" s="72"/>
      <c r="W74" s="104">
        <f t="shared" si="12"/>
        <v>22603.200000000001</v>
      </c>
      <c r="X74" s="72"/>
      <c r="Y74" s="149"/>
      <c r="Z74" s="146"/>
    </row>
    <row r="75" spans="2:26" ht="9.75" customHeight="1" x14ac:dyDescent="0.15">
      <c r="O75" s="7"/>
      <c r="P75" s="63"/>
      <c r="Q75" s="13"/>
      <c r="R75" s="13"/>
      <c r="S75" s="13"/>
      <c r="T75" s="13"/>
      <c r="U75" s="13"/>
      <c r="V75" s="49"/>
      <c r="W75" s="49"/>
      <c r="X75" s="49"/>
      <c r="Y75" s="69"/>
      <c r="Z75" s="146"/>
    </row>
    <row r="76" spans="2:26" ht="9.75" customHeight="1" x14ac:dyDescent="0.15">
      <c r="O76" s="7"/>
      <c r="P76" s="100" t="s">
        <v>38</v>
      </c>
      <c r="Q76" s="10"/>
      <c r="R76" s="10"/>
      <c r="S76" s="10"/>
      <c r="T76" s="10"/>
      <c r="U76" s="86" t="s">
        <v>40</v>
      </c>
      <c r="V76" s="46"/>
      <c r="W76" s="105" t="s">
        <v>39</v>
      </c>
      <c r="X76" s="46"/>
      <c r="Y76" s="99"/>
      <c r="Z76" s="146"/>
    </row>
    <row r="77" spans="2:26" ht="9.75" customHeight="1" x14ac:dyDescent="0.15">
      <c r="O77" s="7"/>
      <c r="P77" s="50" t="s">
        <v>31</v>
      </c>
      <c r="Q77" s="9"/>
      <c r="R77" s="9"/>
      <c r="S77" s="9"/>
      <c r="T77" s="9"/>
      <c r="U77" s="76">
        <f>+W70/2</f>
        <v>10000</v>
      </c>
      <c r="V77" s="72"/>
      <c r="W77" s="76">
        <f>+W70/2</f>
        <v>10000</v>
      </c>
      <c r="X77" s="72"/>
      <c r="Y77" s="68"/>
      <c r="Z77" s="146"/>
    </row>
    <row r="78" spans="2:26" ht="9.75" customHeight="1" x14ac:dyDescent="0.15">
      <c r="N78" s="146"/>
      <c r="O78" s="7"/>
      <c r="P78" s="52" t="s">
        <v>32</v>
      </c>
      <c r="Q78" s="8"/>
      <c r="R78" s="8"/>
      <c r="S78" s="8"/>
      <c r="T78" s="8"/>
      <c r="U78" s="77">
        <f>+W71/2</f>
        <v>0</v>
      </c>
      <c r="V78" s="47"/>
      <c r="W78" s="77">
        <f t="shared" ref="W78:W80" si="13">+W71/2</f>
        <v>0</v>
      </c>
      <c r="X78" s="47"/>
      <c r="Y78" s="68"/>
      <c r="Z78" s="146"/>
    </row>
    <row r="79" spans="2:26" ht="9.75" customHeight="1" x14ac:dyDescent="0.15">
      <c r="O79" s="7"/>
      <c r="P79" s="52" t="s">
        <v>33</v>
      </c>
      <c r="Q79" s="8"/>
      <c r="R79" s="8"/>
      <c r="S79" s="8"/>
      <c r="T79" s="8"/>
      <c r="U79" s="78">
        <f>+W72/2</f>
        <v>146</v>
      </c>
      <c r="V79" s="47"/>
      <c r="W79" s="78">
        <f t="shared" si="13"/>
        <v>146</v>
      </c>
      <c r="X79" s="47"/>
      <c r="Y79" s="68"/>
      <c r="Z79" s="146"/>
    </row>
    <row r="80" spans="2:26" ht="9.75" customHeight="1" x14ac:dyDescent="0.15">
      <c r="O80" s="7"/>
      <c r="P80" s="54" t="s">
        <v>37</v>
      </c>
      <c r="Q80" s="10"/>
      <c r="R80" s="10"/>
      <c r="S80" s="10"/>
      <c r="T80" s="10"/>
      <c r="U80" s="79">
        <f>+W73/2</f>
        <v>1155.6000000000001</v>
      </c>
      <c r="V80" s="46"/>
      <c r="W80" s="79">
        <f t="shared" si="13"/>
        <v>1155.6000000000001</v>
      </c>
      <c r="X80" s="46"/>
      <c r="Y80" s="68"/>
      <c r="Z80" s="146"/>
    </row>
    <row r="81" spans="15:26" ht="9.75" customHeight="1" x14ac:dyDescent="0.15">
      <c r="O81" s="7"/>
      <c r="P81" s="63" t="s">
        <v>14</v>
      </c>
      <c r="Q81" s="13"/>
      <c r="R81" s="13"/>
      <c r="S81" s="13"/>
      <c r="T81" s="13"/>
      <c r="U81" s="80">
        <f>SUM(U77:U80)</f>
        <v>11301.6</v>
      </c>
      <c r="V81" s="71"/>
      <c r="W81" s="80">
        <f>SUM(W77:W80)</f>
        <v>11301.6</v>
      </c>
      <c r="X81" s="44"/>
      <c r="Y81" s="150"/>
      <c r="Z81" s="146"/>
    </row>
    <row r="82" spans="15:26" ht="9.75" customHeight="1" x14ac:dyDescent="0.15">
      <c r="O82" s="7"/>
      <c r="P82" s="54"/>
      <c r="Q82" s="10"/>
      <c r="R82" s="10"/>
      <c r="S82" s="10"/>
      <c r="T82" s="10"/>
      <c r="U82" s="43"/>
      <c r="V82" s="46"/>
      <c r="W82" s="43"/>
      <c r="X82" s="40"/>
      <c r="Y82" s="102"/>
      <c r="Z82" s="146"/>
    </row>
    <row r="83" spans="15:26" ht="9.75" customHeight="1" x14ac:dyDescent="0.15">
      <c r="O83" s="7"/>
      <c r="P83" s="84"/>
      <c r="Q83" s="13"/>
      <c r="R83" s="13"/>
      <c r="S83" s="13"/>
      <c r="T83" s="13"/>
      <c r="U83" s="13"/>
      <c r="V83" s="13"/>
      <c r="W83" s="13"/>
      <c r="X83" s="13"/>
      <c r="Y83" s="151"/>
      <c r="Z83" s="146"/>
    </row>
    <row r="84" spans="15:26" ht="9.75" customHeight="1" thickBot="1" x14ac:dyDescent="0.2">
      <c r="O84" s="4"/>
      <c r="P84" s="5"/>
      <c r="Q84" s="5"/>
      <c r="R84" s="5"/>
      <c r="S84" s="5"/>
      <c r="T84" s="5"/>
      <c r="U84" s="5"/>
      <c r="V84" s="5"/>
      <c r="W84" s="5"/>
      <c r="X84" s="5"/>
      <c r="Y84" s="5"/>
      <c r="Z84" s="6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602DEDF8A0574399BC4EFA2117317D3A0009CAA48EB4307A4D9AFF3C56DC12CE6301000F4D0B44581F8847923A6EC97A702A65" ma:contentTypeVersion="2" ma:contentTypeDescription="" ma:contentTypeScope="" ma:versionID="556f9a8feed5608954523a623e9f6b4d">
  <xsd:schema xmlns:xsd="http://www.w3.org/2001/XMLSchema" xmlns:xs="http://www.w3.org/2001/XMLSchema" xmlns:p="http://schemas.microsoft.com/office/2006/metadata/properties" xmlns:ns2="eac3eda4-e0c8-4238-8a3d-3a564a656a5b" xmlns:ns3="81e32a9f-03bc-42ce-8c2d-adbd1ad6e734" targetNamespace="http://schemas.microsoft.com/office/2006/metadata/properties" ma:root="true" ma:fieldsID="020292849b671d3c6135a1ff94a6278f" ns2:_="" ns3:_="">
    <xsd:import namespace="eac3eda4-e0c8-4238-8a3d-3a564a656a5b"/>
    <xsd:import namespace="81e32a9f-03bc-42ce-8c2d-adbd1ad6e734"/>
    <xsd:element name="properties">
      <xsd:complexType>
        <xsd:sequence>
          <xsd:element name="documentManagement">
            <xsd:complexType>
              <xsd:all>
                <xsd:element ref="ns3:DocumentTypeTaxHTField0" minOccurs="0"/>
                <xsd:element ref="ns2:TaxCatchAll" minOccurs="0"/>
                <xsd:element ref="ns2:TaxCatchAllLabel" minOccurs="0"/>
                <xsd:element ref="ns2:cdb59a71a1094b24a26993ddb98fc8ea" minOccurs="0"/>
                <xsd:element ref="ns2:cea5db426e5447899e7e96a140ca8638" minOccurs="0"/>
                <xsd:element ref="ns2:Openba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3eda4-e0c8-4238-8a3d-3a564a656a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CatchAll" ma:hidden="true" ma:list="{458efa67-4161-43f8-97e7-e10eb014f2bc}" ma:internalName="TaxCatchAll" ma:showField="CatchAllData" ma:web="a19ab1c6-71e7-4e2c-a06f-0be5c8083f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CatchAllLabel" ma:hidden="true" ma:list="{458efa67-4161-43f8-97e7-e10eb014f2bc}" ma:internalName="TaxCatchAllLabel" ma:readOnly="true" ma:showField="CatchAllDataLabel" ma:web="a19ab1c6-71e7-4e2c-a06f-0be5c8083f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db59a71a1094b24a26993ddb98fc8ea" ma:index="12" nillable="true" ma:taxonomy="true" ma:internalName="cdb59a71a1094b24a26993ddb98fc8ea" ma:taxonomyFieldName="Categorie" ma:displayName="Categorie" ma:default="" ma:fieldId="{cdb59a71-a109-4b24-a269-93ddb98fc8ea}" ma:taxonomyMulti="true" ma:sspId="f85d4054-6d0c-4709-aaf5-95c0f58b49e4" ma:termSetId="c830cb3e-a482-4986-85c0-877d1abaeb87" ma:anchorId="7a4173d8-f921-477c-b642-b57b55bf866a" ma:open="false" ma:isKeyword="false">
      <xsd:complexType>
        <xsd:sequence>
          <xsd:element ref="pc:Terms" minOccurs="0" maxOccurs="1"/>
        </xsd:sequence>
      </xsd:complexType>
    </xsd:element>
    <xsd:element name="cea5db426e5447899e7e96a140ca8638" ma:index="14" nillable="true" ma:taxonomy="true" ma:internalName="cea5db426e5447899e7e96a140ca8638" ma:taxonomyFieldName="Project" ma:displayName="Project" ma:default="" ma:fieldId="{cea5db42-6e54-4789-9e7e-96a140ca8638}" ma:sspId="f85d4054-6d0c-4709-aaf5-95c0f58b49e4" ma:termSetId="5da36c40-790a-4b7c-8107-b23518bc25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penbaar" ma:index="16" nillable="true" ma:displayName="Openbaar" ma:format="Dropdown" ma:internalName="Openbaar0" ma:readOnly="false">
      <xsd:simpleType>
        <xsd:restriction base="dms:Choice">
          <xsd:enumeration value="Nee"/>
          <xsd:enumeration value="J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32a9f-03bc-42ce-8c2d-adbd1ad6e734" elementFormDefault="qualified">
    <xsd:import namespace="http://schemas.microsoft.com/office/2006/documentManagement/types"/>
    <xsd:import namespace="http://schemas.microsoft.com/office/infopath/2007/PartnerControls"/>
    <xsd:element name="DocumentTypeTaxHTField0" ma:index="9" nillable="true" ma:taxonomy="true" ma:internalName="DocumentTypeTaxHTField0" ma:taxonomyFieldName="DocumentType" ma:displayName="Document type" ma:indexed="true" ma:readOnly="false" ma:default="" ma:fieldId="{7806aed2-60cb-427e-808c-462caec3541b}" ma:sspId="f85d4054-6d0c-4709-aaf5-95c0f58b49e4" ma:termSetId="c830cb3e-a482-4986-85c0-877d1abaeb87" ma:anchorId="493a3a5e-4483-4858-b165-fd9e80d4fac9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f85d4054-6d0c-4709-aaf5-95c0f58b49e4" ContentTypeId="0x010100602DEDF8A0574399BC4EFA2117317D3A0009CAA48EB4307A4D9AFF3C56DC12CE6301" PreviousValue="false" LastSyncTimeStamp="2019-02-12T09:21:54.543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enbaar xmlns="eac3eda4-e0c8-4238-8a3d-3a564a656a5b" xsi:nil="true"/>
    <cea5db426e5447899e7e96a140ca8638 xmlns="eac3eda4-e0c8-4238-8a3d-3a564a656a5b">
      <Terms xmlns="http://schemas.microsoft.com/office/infopath/2007/PartnerControls"/>
    </cea5db426e5447899e7e96a140ca8638>
    <TaxCatchAll xmlns="eac3eda4-e0c8-4238-8a3d-3a564a656a5b" xsi:nil="true"/>
    <DocumentTypeTaxHTField0 xmlns="81e32a9f-03bc-42ce-8c2d-adbd1ad6e734">
      <Terms xmlns="http://schemas.microsoft.com/office/infopath/2007/PartnerControls"/>
    </DocumentTypeTaxHTField0>
    <cdb59a71a1094b24a26993ddb98fc8ea xmlns="eac3eda4-e0c8-4238-8a3d-3a564a656a5b">
      <Terms xmlns="http://schemas.microsoft.com/office/infopath/2007/PartnerControls"/>
    </cdb59a71a1094b24a26993ddb98fc8ea>
  </documentManagement>
</p:properties>
</file>

<file path=customXml/itemProps1.xml><?xml version="1.0" encoding="utf-8"?>
<ds:datastoreItem xmlns:ds="http://schemas.openxmlformats.org/officeDocument/2006/customXml" ds:itemID="{E9A032DE-844A-4C86-96E9-19FB208AD91C}"/>
</file>

<file path=customXml/itemProps2.xml><?xml version="1.0" encoding="utf-8"?>
<ds:datastoreItem xmlns:ds="http://schemas.openxmlformats.org/officeDocument/2006/customXml" ds:itemID="{B889F3D0-4E8B-4155-B200-032DCFD3E2F0}"/>
</file>

<file path=customXml/itemProps3.xml><?xml version="1.0" encoding="utf-8"?>
<ds:datastoreItem xmlns:ds="http://schemas.openxmlformats.org/officeDocument/2006/customXml" ds:itemID="{BC8F1E81-F5C3-4568-90FD-C8D812D3B1CA}"/>
</file>

<file path=customXml/itemProps4.xml><?xml version="1.0" encoding="utf-8"?>
<ds:datastoreItem xmlns:ds="http://schemas.openxmlformats.org/officeDocument/2006/customXml" ds:itemID="{87A73AD7-483A-455C-9254-C30ABC5CCE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 Fransen</dc:creator>
  <cp:lastModifiedBy>Gijs Textor</cp:lastModifiedBy>
  <dcterms:created xsi:type="dcterms:W3CDTF">2020-03-06T07:23:35Z</dcterms:created>
  <dcterms:modified xsi:type="dcterms:W3CDTF">2023-02-28T10:22:34Z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enbaar">
    <vt:bool>true</vt:bool>
  </property>
  <property fmtid="{D5CDD505-2E9C-101B-9397-08002B2CF9AE}" pid="3" name="ContentTypeId">
    <vt:lpwstr>0x010100602DEDF8A0574399BC4EFA2117317D3A0009CAA48EB4307A4D9AFF3C56DC12CE6301000F4D0B44581F8847923A6EC97A702A65</vt:lpwstr>
  </property>
</Properties>
</file>